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6111" i="1"/>
  <c r="B6111"/>
  <c r="E6110"/>
  <c r="B6110"/>
  <c r="E6109"/>
  <c r="B6109"/>
  <c r="E6108"/>
  <c r="B6108"/>
  <c r="E6107"/>
  <c r="B6107"/>
  <c r="E6106"/>
  <c r="B6106"/>
  <c r="E6105"/>
  <c r="B6105"/>
  <c r="E6104"/>
  <c r="B6104"/>
  <c r="E6103"/>
  <c r="B6103"/>
  <c r="E6102"/>
  <c r="B6102"/>
  <c r="E6101"/>
  <c r="B6101"/>
  <c r="E6100"/>
  <c r="B6100"/>
  <c r="E6099"/>
  <c r="B6099"/>
  <c r="E6098"/>
  <c r="B6098"/>
  <c r="E6097"/>
  <c r="B6097"/>
  <c r="E6096"/>
  <c r="B6096"/>
  <c r="E6095"/>
  <c r="B6095"/>
  <c r="E6094"/>
  <c r="B6094"/>
  <c r="E6093"/>
  <c r="B6093"/>
  <c r="E6092"/>
  <c r="B6092"/>
  <c r="E6091"/>
  <c r="B6091"/>
  <c r="E6090"/>
  <c r="B6090"/>
  <c r="E6089"/>
  <c r="B6089"/>
  <c r="E6088"/>
  <c r="B6088"/>
  <c r="E6087"/>
  <c r="B6087"/>
  <c r="E6086"/>
  <c r="B6086"/>
  <c r="E6085"/>
  <c r="B6085"/>
  <c r="E6084"/>
  <c r="B6084"/>
  <c r="E6083"/>
  <c r="B6083"/>
  <c r="E6082"/>
  <c r="B6082"/>
  <c r="E6081"/>
  <c r="B6081"/>
  <c r="E6080"/>
  <c r="B6080"/>
  <c r="E6079"/>
  <c r="B6079"/>
  <c r="E6078"/>
  <c r="B6078"/>
  <c r="E6077"/>
  <c r="B6077"/>
  <c r="E6076"/>
  <c r="B6076"/>
  <c r="E6075"/>
  <c r="B6075"/>
  <c r="E6074"/>
  <c r="B6074"/>
  <c r="E6073"/>
  <c r="B6073"/>
  <c r="E6072"/>
  <c r="B6072"/>
  <c r="E6071"/>
  <c r="B6071"/>
  <c r="E6070"/>
  <c r="B6070"/>
  <c r="E6069"/>
  <c r="B6069"/>
  <c r="E6068"/>
  <c r="B6068"/>
  <c r="E6067"/>
  <c r="B6067"/>
  <c r="E6066"/>
  <c r="B6066"/>
  <c r="E6065"/>
  <c r="B6065"/>
  <c r="E6064"/>
  <c r="B6064"/>
  <c r="E6063"/>
  <c r="B6063"/>
  <c r="E6062"/>
  <c r="B6062"/>
  <c r="E6061"/>
  <c r="B6061"/>
  <c r="E6060"/>
  <c r="B6060"/>
  <c r="E6059"/>
  <c r="B6059"/>
  <c r="E6058"/>
  <c r="B6058"/>
  <c r="E6057"/>
  <c r="B6057"/>
  <c r="E6056"/>
  <c r="B6056"/>
  <c r="E6055"/>
  <c r="B6055"/>
  <c r="E6054"/>
  <c r="B6054"/>
  <c r="E6053"/>
  <c r="B6053"/>
  <c r="E6052"/>
  <c r="B6052"/>
  <c r="E6051"/>
  <c r="B6051"/>
  <c r="E6050"/>
  <c r="B6050"/>
  <c r="E6049"/>
  <c r="B6049"/>
  <c r="E6048"/>
  <c r="B6048"/>
  <c r="E6047"/>
  <c r="B6047"/>
  <c r="E6046"/>
  <c r="B6046"/>
  <c r="E6045"/>
  <c r="B6045"/>
  <c r="E6044"/>
  <c r="B6044"/>
  <c r="E6043"/>
  <c r="B6043"/>
  <c r="E6042"/>
  <c r="B6042"/>
  <c r="E6041"/>
  <c r="B6041"/>
  <c r="E6040"/>
  <c r="B6040"/>
  <c r="E6039"/>
  <c r="B6039"/>
  <c r="E6038"/>
  <c r="B6038"/>
  <c r="E6037"/>
  <c r="B6037"/>
  <c r="E6036"/>
  <c r="B6036"/>
  <c r="E6035"/>
  <c r="B6035"/>
  <c r="E6034"/>
  <c r="B6034"/>
  <c r="E6033"/>
  <c r="B6033"/>
  <c r="E6032"/>
  <c r="B6032"/>
  <c r="E6031"/>
  <c r="B6031"/>
  <c r="E6030"/>
  <c r="B6030"/>
  <c r="E6029"/>
  <c r="B6029"/>
  <c r="E6028"/>
  <c r="B6028"/>
  <c r="E6027"/>
  <c r="B6027"/>
  <c r="E6026"/>
  <c r="B6026"/>
  <c r="E6025"/>
  <c r="B6025"/>
  <c r="E6024"/>
  <c r="B6024"/>
  <c r="E6023"/>
  <c r="B6023"/>
  <c r="E6022"/>
  <c r="B6022"/>
  <c r="E6021"/>
  <c r="B6021"/>
  <c r="E6020"/>
  <c r="B6020"/>
  <c r="E6019"/>
  <c r="B6019"/>
  <c r="E6018"/>
  <c r="B6018"/>
  <c r="E6017"/>
  <c r="B6017"/>
  <c r="E6016"/>
  <c r="B6016"/>
  <c r="E6015"/>
  <c r="B6015"/>
  <c r="E6014"/>
  <c r="B6014"/>
  <c r="E6013"/>
  <c r="B6013"/>
  <c r="E6012"/>
  <c r="B6012"/>
  <c r="E6011"/>
  <c r="B6011"/>
  <c r="E6010"/>
  <c r="B6010"/>
  <c r="E6009"/>
  <c r="B6009"/>
  <c r="E6008"/>
  <c r="B6008"/>
  <c r="E6007"/>
  <c r="B6007"/>
  <c r="E6006"/>
  <c r="B6006"/>
  <c r="E6005"/>
  <c r="B6005"/>
  <c r="E6004"/>
  <c r="B6004"/>
  <c r="E6003"/>
  <c r="B6003"/>
  <c r="E6002"/>
  <c r="B6002"/>
  <c r="E6001"/>
  <c r="B6001"/>
  <c r="E6000"/>
  <c r="B6000"/>
  <c r="E5999"/>
  <c r="B5999"/>
  <c r="E5998"/>
  <c r="B5998"/>
  <c r="E5997"/>
  <c r="B5997"/>
  <c r="E5996"/>
  <c r="B5996"/>
  <c r="E5995"/>
  <c r="B5995"/>
  <c r="E5994"/>
  <c r="B5994"/>
  <c r="E5993"/>
  <c r="B5993"/>
  <c r="E5992"/>
  <c r="B5992"/>
  <c r="E5991"/>
  <c r="B5991"/>
  <c r="E5990"/>
  <c r="B5990"/>
  <c r="E5989"/>
  <c r="B5989"/>
  <c r="E5988"/>
  <c r="B5988"/>
  <c r="E5987"/>
  <c r="B5987"/>
  <c r="E5986"/>
  <c r="B5986"/>
  <c r="E5985"/>
  <c r="B5985"/>
  <c r="E5984"/>
  <c r="B5984"/>
  <c r="E5983"/>
  <c r="B5983"/>
  <c r="E5982"/>
  <c r="B5982"/>
  <c r="E5981"/>
  <c r="B5981"/>
  <c r="E5980"/>
  <c r="B5980"/>
  <c r="E5979"/>
  <c r="B5979"/>
  <c r="E5978"/>
  <c r="B5978"/>
  <c r="E5977"/>
  <c r="B5977"/>
  <c r="E5976"/>
  <c r="B5976"/>
  <c r="E5975"/>
  <c r="B5975"/>
  <c r="E5974"/>
  <c r="B5974"/>
  <c r="E5973"/>
  <c r="B5973"/>
  <c r="E5972"/>
  <c r="B5972"/>
  <c r="E5971"/>
  <c r="B5971"/>
  <c r="E5970"/>
  <c r="B5970"/>
  <c r="E5969"/>
  <c r="B5969"/>
  <c r="E5968"/>
  <c r="B5968"/>
  <c r="E5967"/>
  <c r="B5967"/>
  <c r="E5966"/>
  <c r="B5966"/>
  <c r="E5965"/>
  <c r="B5965"/>
  <c r="E5964"/>
  <c r="B5964"/>
  <c r="E5963"/>
  <c r="B5963"/>
  <c r="E5962"/>
  <c r="B5962"/>
  <c r="E5961"/>
  <c r="B5961"/>
  <c r="E5960"/>
  <c r="B5960"/>
  <c r="E5959"/>
  <c r="B5959"/>
  <c r="E5958"/>
  <c r="B5958"/>
  <c r="E5957"/>
  <c r="B5957"/>
  <c r="E5956"/>
  <c r="B5956"/>
  <c r="E5955"/>
  <c r="B5955"/>
  <c r="E5954"/>
  <c r="B5954"/>
  <c r="E5953"/>
  <c r="B5953"/>
  <c r="E5952"/>
  <c r="B5952"/>
  <c r="E5951"/>
  <c r="B5951"/>
  <c r="E5950"/>
  <c r="B5950"/>
  <c r="E5949"/>
  <c r="B5949"/>
  <c r="E5948"/>
  <c r="B5948"/>
  <c r="E5947"/>
  <c r="B5947"/>
  <c r="E5946"/>
  <c r="B5946"/>
  <c r="E5945"/>
  <c r="B5945"/>
  <c r="E5944"/>
  <c r="B5944"/>
  <c r="E5943"/>
  <c r="B5943"/>
  <c r="E5942"/>
  <c r="B5942"/>
  <c r="E5941"/>
  <c r="B5941"/>
  <c r="E5940"/>
  <c r="B5940"/>
  <c r="E5939"/>
  <c r="B5939"/>
  <c r="E5938"/>
  <c r="B5938"/>
  <c r="E5937"/>
  <c r="B5937"/>
  <c r="E5936"/>
  <c r="B5936"/>
  <c r="E5935"/>
  <c r="B5935"/>
  <c r="E5934"/>
  <c r="B5934"/>
  <c r="E5933"/>
  <c r="B5933"/>
  <c r="E5932"/>
  <c r="B5932"/>
  <c r="E5931"/>
  <c r="B5931"/>
  <c r="E5930"/>
  <c r="B5930"/>
  <c r="E5929"/>
  <c r="B5929"/>
  <c r="E5928"/>
  <c r="B5928"/>
  <c r="E5927"/>
  <c r="B5927"/>
  <c r="E5926"/>
  <c r="B5926"/>
  <c r="E5925"/>
  <c r="B5925"/>
  <c r="E5924"/>
  <c r="B5924"/>
  <c r="E5923"/>
  <c r="B5923"/>
  <c r="E5922"/>
  <c r="B5922"/>
  <c r="E5921"/>
  <c r="B5921"/>
  <c r="E5920"/>
  <c r="B5920"/>
  <c r="E5919"/>
  <c r="B5919"/>
  <c r="E5918"/>
  <c r="B5918"/>
  <c r="E5917"/>
  <c r="B5917"/>
  <c r="E5916"/>
  <c r="B5916"/>
  <c r="E5915"/>
  <c r="B5915"/>
  <c r="E5914"/>
  <c r="B5914"/>
  <c r="E5913"/>
  <c r="B5913"/>
  <c r="E5912"/>
  <c r="B5912"/>
  <c r="E5911"/>
  <c r="B5911"/>
  <c r="E5910"/>
  <c r="B5910"/>
  <c r="E5909"/>
  <c r="B5909"/>
  <c r="E5908"/>
  <c r="B5908"/>
  <c r="E5907"/>
  <c r="B5907"/>
  <c r="E5906"/>
  <c r="B5906"/>
  <c r="E5905"/>
  <c r="B5905"/>
  <c r="E5904"/>
  <c r="B5904"/>
  <c r="E5903"/>
  <c r="B5903"/>
  <c r="E5902"/>
  <c r="B5902"/>
  <c r="E5901"/>
  <c r="B5901"/>
  <c r="E5900"/>
  <c r="B5900"/>
  <c r="E5899"/>
  <c r="B5899"/>
  <c r="E5898"/>
  <c r="B5898"/>
  <c r="E5897"/>
  <c r="B5897"/>
  <c r="E5896"/>
  <c r="B5896"/>
  <c r="E5895"/>
  <c r="B5895"/>
  <c r="E5894"/>
  <c r="B5894"/>
  <c r="E5893"/>
  <c r="B5893"/>
  <c r="E5892"/>
  <c r="B5892"/>
  <c r="E5891"/>
  <c r="B5891"/>
  <c r="E5890"/>
  <c r="B5890"/>
  <c r="E5889"/>
  <c r="B5889"/>
  <c r="E5888"/>
  <c r="B5888"/>
  <c r="E5887"/>
  <c r="B5887"/>
  <c r="E5886"/>
  <c r="B5886"/>
  <c r="E5885"/>
  <c r="B5885"/>
  <c r="E5884"/>
  <c r="B5884"/>
  <c r="E5883"/>
  <c r="B5883"/>
  <c r="E5882"/>
  <c r="B5882"/>
  <c r="E5881"/>
  <c r="B5881"/>
  <c r="E5880"/>
  <c r="B5880"/>
  <c r="E5879"/>
  <c r="B5879"/>
  <c r="E5878"/>
  <c r="B5878"/>
  <c r="E5877"/>
  <c r="B5877"/>
  <c r="E5876"/>
  <c r="B5876"/>
  <c r="E5875"/>
  <c r="B5875"/>
  <c r="E5874"/>
  <c r="B5874"/>
  <c r="E5873"/>
  <c r="B5873"/>
  <c r="E5872"/>
  <c r="B5872"/>
  <c r="E5871"/>
  <c r="B5871"/>
  <c r="E5870"/>
  <c r="B5870"/>
  <c r="E5869"/>
  <c r="B5869"/>
  <c r="E5868"/>
  <c r="B5868"/>
  <c r="E5867"/>
  <c r="B5867"/>
  <c r="E5866"/>
  <c r="B5866"/>
  <c r="E5865"/>
  <c r="B5865"/>
  <c r="E5864"/>
  <c r="B5864"/>
  <c r="E5863"/>
  <c r="B5863"/>
  <c r="E5862"/>
  <c r="B5862"/>
  <c r="E5861"/>
  <c r="B5861"/>
  <c r="E5860"/>
  <c r="B5860"/>
  <c r="E5859"/>
  <c r="B5859"/>
  <c r="E5858"/>
  <c r="B5858"/>
  <c r="E5857"/>
  <c r="B5857"/>
  <c r="E5856"/>
  <c r="B5856"/>
  <c r="E5855"/>
  <c r="B5855"/>
  <c r="E5854"/>
  <c r="B5854"/>
  <c r="E5853"/>
  <c r="B5853"/>
  <c r="E5852"/>
  <c r="B5852"/>
  <c r="E5851"/>
  <c r="B5851"/>
  <c r="E5850"/>
  <c r="B5850"/>
  <c r="E5849"/>
  <c r="B5849"/>
  <c r="E5848"/>
  <c r="B5848"/>
  <c r="E5847"/>
  <c r="B5847"/>
  <c r="E5846"/>
  <c r="B5846"/>
  <c r="E5845"/>
  <c r="B5845"/>
  <c r="E5844"/>
  <c r="B5844"/>
  <c r="E5843"/>
  <c r="B5843"/>
  <c r="E5842"/>
  <c r="B5842"/>
  <c r="E5841"/>
  <c r="B5841"/>
  <c r="E5840"/>
  <c r="B5840"/>
  <c r="E5839"/>
  <c r="B5839"/>
  <c r="E5838"/>
  <c r="B5838"/>
  <c r="E5837"/>
  <c r="B5837"/>
  <c r="E5836"/>
  <c r="B5836"/>
  <c r="E5835"/>
  <c r="B5835"/>
  <c r="E5834"/>
  <c r="B5834"/>
  <c r="E5833"/>
  <c r="B5833"/>
  <c r="E5832"/>
  <c r="B5832"/>
  <c r="E5831"/>
  <c r="B5831"/>
  <c r="E5830"/>
  <c r="B5830"/>
  <c r="E5829"/>
  <c r="B5829"/>
  <c r="E5828"/>
  <c r="B5828"/>
  <c r="E5827"/>
  <c r="B5827"/>
  <c r="E5826"/>
  <c r="B5826"/>
  <c r="E5825"/>
  <c r="B5825"/>
  <c r="E5824"/>
  <c r="B5824"/>
  <c r="E5823"/>
  <c r="B5823"/>
  <c r="E5822"/>
  <c r="B5822"/>
  <c r="E5821"/>
  <c r="B5821"/>
  <c r="E5820"/>
  <c r="B5820"/>
  <c r="E5819"/>
  <c r="B5819"/>
  <c r="E5818"/>
  <c r="B5818"/>
  <c r="E5817"/>
  <c r="B5817"/>
  <c r="E5816"/>
  <c r="B5816"/>
  <c r="E5815"/>
  <c r="B5815"/>
  <c r="E5814"/>
  <c r="B5814"/>
  <c r="E5813"/>
  <c r="B5813"/>
  <c r="E5812"/>
  <c r="B5812"/>
  <c r="E5811"/>
  <c r="B5811"/>
  <c r="E5810"/>
  <c r="B5810"/>
  <c r="E5809"/>
  <c r="B5809"/>
  <c r="E5808"/>
  <c r="B5808"/>
  <c r="E5807"/>
  <c r="B5807"/>
  <c r="E5806"/>
  <c r="B5806"/>
  <c r="E5805"/>
  <c r="B5805"/>
  <c r="E5804"/>
  <c r="B5804"/>
  <c r="E5803"/>
  <c r="B5803"/>
  <c r="E5802"/>
  <c r="B5802"/>
  <c r="E5801"/>
  <c r="B5801"/>
  <c r="E5800"/>
  <c r="B5800"/>
  <c r="E5799"/>
  <c r="B5799"/>
  <c r="E5798"/>
  <c r="B5798"/>
  <c r="E5797"/>
  <c r="B5797"/>
  <c r="E5796"/>
  <c r="B5796"/>
  <c r="E5795"/>
  <c r="B5795"/>
  <c r="E5794"/>
  <c r="B5794"/>
  <c r="E5793"/>
  <c r="B5793"/>
  <c r="E5792"/>
  <c r="B5792"/>
  <c r="E5791"/>
  <c r="B5791"/>
  <c r="E5790"/>
  <c r="B5790"/>
  <c r="E5789"/>
  <c r="B5789"/>
  <c r="E5788"/>
  <c r="B5788"/>
  <c r="E5787"/>
  <c r="B5787"/>
  <c r="E5786"/>
  <c r="B5786"/>
  <c r="E5785"/>
  <c r="B5785"/>
  <c r="E5784"/>
  <c r="B5784"/>
  <c r="E5783"/>
  <c r="B5783"/>
  <c r="E5782"/>
  <c r="B5782"/>
  <c r="E5781"/>
  <c r="B5781"/>
  <c r="E5780"/>
  <c r="B5780"/>
  <c r="E5779"/>
  <c r="B5779"/>
  <c r="E5778"/>
  <c r="B5778"/>
  <c r="E5777"/>
  <c r="B5777"/>
  <c r="E5776"/>
  <c r="B5776"/>
  <c r="E5775"/>
  <c r="B5775"/>
  <c r="E5774"/>
  <c r="B5774"/>
  <c r="E5773"/>
  <c r="B5773"/>
  <c r="E5772"/>
  <c r="B5772"/>
  <c r="E5771"/>
  <c r="B5771"/>
  <c r="E5770"/>
  <c r="B5770"/>
  <c r="E5769"/>
  <c r="B5769"/>
  <c r="E5768"/>
  <c r="B5768"/>
  <c r="E5767"/>
  <c r="B5767"/>
  <c r="E5766"/>
  <c r="B5766"/>
  <c r="E5765"/>
  <c r="B5765"/>
  <c r="E5764"/>
  <c r="B5764"/>
  <c r="E5763"/>
  <c r="B5763"/>
  <c r="E5762"/>
  <c r="B5762"/>
  <c r="E5761"/>
  <c r="B5761"/>
  <c r="E5760"/>
  <c r="B5760"/>
  <c r="E5759"/>
  <c r="B5759"/>
  <c r="E5758"/>
  <c r="B5758"/>
  <c r="E5757"/>
  <c r="B5757"/>
  <c r="E5756"/>
  <c r="B5756"/>
  <c r="E5755"/>
  <c r="B5755"/>
  <c r="E5754"/>
  <c r="B5754"/>
  <c r="E5753"/>
  <c r="B5753"/>
  <c r="E5752"/>
  <c r="B5752"/>
  <c r="E5751"/>
  <c r="B5751"/>
  <c r="E5750"/>
  <c r="B5750"/>
  <c r="E5749"/>
  <c r="B5749"/>
  <c r="E5748"/>
  <c r="B5748"/>
  <c r="E5747"/>
  <c r="B5747"/>
  <c r="E5746"/>
  <c r="B5746"/>
  <c r="E5745"/>
  <c r="B5745"/>
  <c r="E5744"/>
  <c r="B5744"/>
  <c r="E5743"/>
  <c r="B5743"/>
  <c r="E5742"/>
  <c r="B5742"/>
  <c r="E5741"/>
  <c r="B5741"/>
  <c r="E5740"/>
  <c r="B5740"/>
  <c r="E5739"/>
  <c r="B5739"/>
  <c r="E5738"/>
  <c r="B5738"/>
  <c r="E5737"/>
  <c r="B5737"/>
  <c r="E5736"/>
  <c r="B5736"/>
  <c r="E5735"/>
  <c r="B5735"/>
  <c r="E5734"/>
  <c r="B5734"/>
  <c r="E5733"/>
  <c r="B5733"/>
  <c r="E5732"/>
  <c r="B5732"/>
  <c r="E5731"/>
  <c r="B5731"/>
  <c r="E5730"/>
  <c r="B5730"/>
  <c r="E5729"/>
  <c r="B5729"/>
  <c r="E5728"/>
  <c r="B5728"/>
  <c r="E5727"/>
  <c r="B5727"/>
  <c r="E5726"/>
  <c r="B5726"/>
  <c r="E5725"/>
  <c r="B5725"/>
  <c r="E5724"/>
  <c r="B5724"/>
  <c r="E5723"/>
  <c r="B5723"/>
  <c r="E5722"/>
  <c r="B5722"/>
  <c r="E5721"/>
  <c r="B5721"/>
  <c r="E5720"/>
  <c r="B5720"/>
  <c r="E5719"/>
  <c r="B5719"/>
  <c r="E5718"/>
  <c r="B5718"/>
  <c r="E5717"/>
  <c r="B5717"/>
  <c r="E5716"/>
  <c r="B5716"/>
  <c r="E5715"/>
  <c r="B5715"/>
  <c r="E5714"/>
  <c r="B5714"/>
  <c r="E5713"/>
  <c r="B5713"/>
  <c r="E5712"/>
  <c r="B5712"/>
  <c r="E5711"/>
  <c r="B5711"/>
  <c r="E5710"/>
  <c r="B5710"/>
  <c r="E5709"/>
  <c r="B5709"/>
  <c r="E5708"/>
  <c r="B5708"/>
  <c r="E5707"/>
  <c r="B5707"/>
  <c r="E5706"/>
  <c r="B5706"/>
  <c r="E5705"/>
  <c r="B5705"/>
  <c r="E5704"/>
  <c r="B5704"/>
  <c r="E5703"/>
  <c r="B5703"/>
  <c r="E5702"/>
  <c r="B5702"/>
  <c r="E5701"/>
  <c r="B5701"/>
  <c r="E5700"/>
  <c r="B5700"/>
  <c r="E5699"/>
  <c r="B5699"/>
  <c r="E5698"/>
  <c r="B5698"/>
  <c r="E5697"/>
  <c r="B5697"/>
  <c r="E5696"/>
  <c r="B5696"/>
  <c r="E5695"/>
  <c r="B5695"/>
  <c r="E5694"/>
  <c r="B5694"/>
  <c r="E5693"/>
  <c r="B5693"/>
  <c r="E5692"/>
  <c r="B5692"/>
  <c r="E5691"/>
  <c r="B5691"/>
  <c r="E5690"/>
  <c r="B5690"/>
  <c r="E5689"/>
  <c r="B5689"/>
  <c r="E5688"/>
  <c r="B5688"/>
  <c r="E5687"/>
  <c r="B5687"/>
  <c r="E5686"/>
  <c r="B5686"/>
  <c r="E5685"/>
  <c r="B5685"/>
  <c r="E5684"/>
  <c r="B5684"/>
  <c r="E5683"/>
  <c r="B5683"/>
  <c r="E5682"/>
  <c r="B5682"/>
  <c r="E5681"/>
  <c r="B5681"/>
  <c r="E5680"/>
  <c r="B5680"/>
  <c r="E5679"/>
  <c r="B5679"/>
  <c r="E5678"/>
  <c r="B5678"/>
  <c r="E5677"/>
  <c r="B5677"/>
  <c r="E5676"/>
  <c r="B5676"/>
  <c r="E5675"/>
  <c r="B5675"/>
  <c r="E5674"/>
  <c r="B5674"/>
  <c r="E5673"/>
  <c r="B5673"/>
  <c r="E5672"/>
  <c r="B5672"/>
  <c r="E5671"/>
  <c r="B5671"/>
  <c r="E5670"/>
  <c r="B5670"/>
  <c r="E5669"/>
  <c r="B5669"/>
  <c r="E5668"/>
  <c r="B5668"/>
  <c r="E5667"/>
  <c r="B5667"/>
  <c r="E5666"/>
  <c r="B5666"/>
  <c r="E5665"/>
  <c r="B5665"/>
  <c r="E5664"/>
  <c r="B5664"/>
  <c r="E5663"/>
  <c r="B5663"/>
  <c r="E5662"/>
  <c r="B5662"/>
  <c r="E5661"/>
  <c r="B5661"/>
  <c r="E5660"/>
  <c r="B5660"/>
  <c r="E5659"/>
  <c r="B5659"/>
  <c r="E5658"/>
  <c r="B5658"/>
  <c r="E5657"/>
  <c r="B5657"/>
  <c r="E5656"/>
  <c r="B5656"/>
  <c r="E5655"/>
  <c r="B5655"/>
  <c r="E5654"/>
  <c r="B5654"/>
  <c r="E5653"/>
  <c r="B5653"/>
  <c r="E5652"/>
  <c r="B5652"/>
  <c r="E5651"/>
  <c r="B5651"/>
  <c r="E5650"/>
  <c r="B5650"/>
  <c r="E5649"/>
  <c r="B5649"/>
  <c r="E5648"/>
  <c r="B5648"/>
  <c r="E5647"/>
  <c r="B5647"/>
  <c r="E5646"/>
  <c r="B5646"/>
  <c r="E5645"/>
  <c r="B5645"/>
  <c r="E5644"/>
  <c r="B5644"/>
  <c r="E5643"/>
  <c r="B5643"/>
  <c r="E5642"/>
  <c r="B5642"/>
  <c r="E5641"/>
  <c r="B5641"/>
  <c r="E5640"/>
  <c r="B5640"/>
  <c r="E5639"/>
  <c r="B5639"/>
  <c r="E5638"/>
  <c r="B5638"/>
  <c r="E5637"/>
  <c r="B5637"/>
  <c r="E5636"/>
  <c r="B5636"/>
  <c r="E5635"/>
  <c r="B5635"/>
  <c r="E5634"/>
  <c r="B5634"/>
  <c r="E5633"/>
  <c r="B5633"/>
  <c r="E5632"/>
  <c r="B5632"/>
  <c r="E5631"/>
  <c r="B5631"/>
  <c r="E5630"/>
  <c r="B5630"/>
  <c r="E5629"/>
  <c r="B5629"/>
  <c r="E5628"/>
  <c r="B5628"/>
  <c r="E5627"/>
  <c r="B5627"/>
  <c r="E5626"/>
  <c r="B5626"/>
  <c r="E5625"/>
  <c r="B5625"/>
  <c r="E5624"/>
  <c r="B5624"/>
  <c r="E5623"/>
  <c r="B5623"/>
  <c r="E5622"/>
  <c r="B5622"/>
  <c r="E5621"/>
  <c r="B5621"/>
  <c r="E5620"/>
  <c r="B5620"/>
  <c r="E5619"/>
  <c r="B5619"/>
  <c r="E5618"/>
  <c r="B5618"/>
  <c r="E5617"/>
  <c r="B5617"/>
  <c r="E5616"/>
  <c r="B5616"/>
  <c r="E5615"/>
  <c r="B5615"/>
  <c r="E5614"/>
  <c r="B5614"/>
  <c r="E5613"/>
  <c r="B5613"/>
  <c r="E5612"/>
  <c r="B5612"/>
  <c r="E5611"/>
  <c r="B5611"/>
  <c r="E5610"/>
  <c r="B5610"/>
  <c r="E5609"/>
  <c r="B5609"/>
  <c r="E5608"/>
  <c r="B5608"/>
  <c r="E5607"/>
  <c r="B5607"/>
  <c r="E5606"/>
  <c r="B5606"/>
  <c r="E5605"/>
  <c r="B5605"/>
  <c r="E5604"/>
  <c r="B5604"/>
  <c r="E5603"/>
  <c r="B5603"/>
  <c r="E5602"/>
  <c r="B5602"/>
  <c r="E5601"/>
  <c r="B5601"/>
  <c r="E5600"/>
  <c r="B5600"/>
  <c r="E5599"/>
  <c r="B5599"/>
  <c r="E5598"/>
  <c r="B5598"/>
  <c r="E5597"/>
  <c r="B5597"/>
  <c r="E5596"/>
  <c r="B5596"/>
  <c r="E5595"/>
  <c r="B5595"/>
  <c r="E5594"/>
  <c r="B5594"/>
  <c r="E5593"/>
  <c r="B5593"/>
  <c r="E5592"/>
  <c r="B5592"/>
  <c r="E5591"/>
  <c r="B5591"/>
  <c r="E5590"/>
  <c r="B5590"/>
  <c r="E5589"/>
  <c r="B5589"/>
  <c r="E5588"/>
  <c r="B5588"/>
  <c r="E5587"/>
  <c r="B5587"/>
  <c r="E5586"/>
  <c r="B5586"/>
  <c r="E5585"/>
  <c r="B5585"/>
  <c r="E5584"/>
  <c r="B5584"/>
  <c r="E5583"/>
  <c r="B5583"/>
  <c r="E5582"/>
  <c r="B5582"/>
  <c r="E5581"/>
  <c r="B5581"/>
  <c r="E5580"/>
  <c r="B5580"/>
  <c r="E5579"/>
  <c r="B5579"/>
  <c r="E5578"/>
  <c r="B5578"/>
  <c r="E5577"/>
  <c r="B5577"/>
  <c r="E5576"/>
  <c r="B5576"/>
  <c r="E5575"/>
  <c r="B5575"/>
  <c r="E5574"/>
  <c r="B5574"/>
  <c r="E5573"/>
  <c r="B5573"/>
  <c r="E5572"/>
  <c r="B5572"/>
  <c r="E5571"/>
  <c r="B5571"/>
  <c r="E5570"/>
  <c r="B5570"/>
  <c r="E5569"/>
  <c r="B5569"/>
  <c r="E5568"/>
  <c r="B5568"/>
  <c r="E5567"/>
  <c r="B5567"/>
  <c r="E5566"/>
  <c r="B5566"/>
  <c r="E5565"/>
  <c r="B5565"/>
  <c r="E5564"/>
  <c r="B5564"/>
  <c r="E5563"/>
  <c r="B5563"/>
  <c r="E5562"/>
  <c r="B5562"/>
  <c r="E5561"/>
  <c r="B5561"/>
  <c r="E5560"/>
  <c r="B5560"/>
  <c r="E5559"/>
  <c r="B5559"/>
  <c r="E5558"/>
  <c r="B5558"/>
  <c r="E5557"/>
  <c r="B5557"/>
  <c r="E5556"/>
  <c r="B5556"/>
  <c r="E5555"/>
  <c r="B5555"/>
  <c r="E5554"/>
  <c r="B5554"/>
  <c r="E5553"/>
  <c r="B5553"/>
  <c r="E5552"/>
  <c r="B5552"/>
  <c r="E5551"/>
  <c r="B5551"/>
  <c r="E5550"/>
  <c r="B5550"/>
  <c r="E5549"/>
  <c r="B5549"/>
  <c r="E5548"/>
  <c r="B5548"/>
  <c r="E5547"/>
  <c r="B5547"/>
  <c r="E5546"/>
  <c r="B5546"/>
  <c r="E5545"/>
  <c r="B5545"/>
  <c r="E5544"/>
  <c r="B5544"/>
  <c r="E5543"/>
  <c r="B5543"/>
  <c r="E5542"/>
  <c r="B5542"/>
  <c r="E5541"/>
  <c r="B5541"/>
  <c r="E5540"/>
  <c r="B5540"/>
  <c r="E5539"/>
  <c r="B5539"/>
  <c r="E5538"/>
  <c r="B5538"/>
  <c r="E5537"/>
  <c r="B5537"/>
  <c r="E5536"/>
  <c r="B5536"/>
  <c r="E5535"/>
  <c r="B5535"/>
  <c r="E5534"/>
  <c r="B5534"/>
  <c r="E5533"/>
  <c r="B5533"/>
  <c r="E5532"/>
  <c r="B5532"/>
  <c r="E5531"/>
  <c r="B5531"/>
  <c r="E5530"/>
  <c r="B5530"/>
  <c r="E5529"/>
  <c r="B5529"/>
  <c r="E5528"/>
  <c r="B5528"/>
  <c r="E5527"/>
  <c r="B5527"/>
  <c r="E5526"/>
  <c r="B5526"/>
  <c r="E5525"/>
  <c r="B5525"/>
  <c r="E5524"/>
  <c r="B5524"/>
  <c r="E5523"/>
  <c r="B5523"/>
  <c r="E5522"/>
  <c r="B5522"/>
  <c r="E5521"/>
  <c r="B5521"/>
  <c r="E5520"/>
  <c r="B5520"/>
  <c r="E5519"/>
  <c r="B5519"/>
  <c r="E5518"/>
  <c r="B5518"/>
  <c r="E5517"/>
  <c r="B5517"/>
  <c r="E5516"/>
  <c r="B5516"/>
  <c r="E5515"/>
  <c r="B5515"/>
  <c r="E5514"/>
  <c r="B5514"/>
  <c r="E5513"/>
  <c r="B5513"/>
  <c r="E5512"/>
  <c r="B5512"/>
  <c r="E5511"/>
  <c r="B5511"/>
  <c r="E5510"/>
  <c r="B5510"/>
  <c r="E5509"/>
  <c r="B5509"/>
  <c r="E5508"/>
  <c r="B5508"/>
  <c r="E5507"/>
  <c r="B5507"/>
  <c r="E5506"/>
  <c r="B5506"/>
  <c r="E5505"/>
  <c r="B5505"/>
  <c r="E5504"/>
  <c r="B5504"/>
  <c r="E5503"/>
  <c r="B5503"/>
  <c r="E5502"/>
  <c r="B5502"/>
  <c r="E5501"/>
  <c r="B5501"/>
  <c r="E5500"/>
  <c r="B5500"/>
  <c r="E5499"/>
  <c r="B5499"/>
  <c r="E5498"/>
  <c r="B5498"/>
  <c r="E5497"/>
  <c r="B5497"/>
  <c r="E5496"/>
  <c r="B5496"/>
  <c r="E5495"/>
  <c r="B5495"/>
  <c r="E5494"/>
  <c r="B5494"/>
  <c r="E5493"/>
  <c r="B5493"/>
  <c r="E5492"/>
  <c r="B5492"/>
  <c r="E5491"/>
  <c r="B5491"/>
  <c r="E5490"/>
  <c r="B5490"/>
  <c r="E5489"/>
  <c r="B5489"/>
  <c r="E5488"/>
  <c r="B5488"/>
  <c r="E5487"/>
  <c r="B5487"/>
  <c r="E5486"/>
  <c r="B5486"/>
  <c r="E5485"/>
  <c r="B5485"/>
  <c r="E5484"/>
  <c r="B5484"/>
  <c r="E5483"/>
  <c r="B5483"/>
  <c r="E5482"/>
  <c r="B5482"/>
  <c r="E5481"/>
  <c r="B5481"/>
  <c r="E5480"/>
  <c r="B5480"/>
  <c r="E5479"/>
  <c r="B5479"/>
  <c r="E5478"/>
  <c r="B5478"/>
  <c r="E5477"/>
  <c r="B5477"/>
  <c r="E5476"/>
  <c r="B5476"/>
  <c r="E5475"/>
  <c r="B5475"/>
  <c r="E5474"/>
  <c r="B5474"/>
  <c r="E5473"/>
  <c r="B5473"/>
  <c r="E5472"/>
  <c r="B5472"/>
  <c r="E5471"/>
  <c r="B5471"/>
  <c r="E5470"/>
  <c r="B5470"/>
  <c r="E5469"/>
  <c r="B5469"/>
  <c r="E5468"/>
  <c r="B5468"/>
  <c r="E5467"/>
  <c r="B5467"/>
  <c r="E5466"/>
  <c r="B5466"/>
  <c r="E5465"/>
  <c r="B5465"/>
  <c r="E5464"/>
  <c r="B5464"/>
  <c r="E5463"/>
  <c r="B5463"/>
  <c r="E5462"/>
  <c r="B5462"/>
  <c r="E5461"/>
  <c r="B5461"/>
  <c r="E5460"/>
  <c r="B5460"/>
  <c r="E5459"/>
  <c r="B5459"/>
  <c r="E5458"/>
  <c r="B5458"/>
  <c r="E5457"/>
  <c r="B5457"/>
  <c r="E5456"/>
  <c r="B5456"/>
  <c r="E5455"/>
  <c r="B5455"/>
  <c r="E5454"/>
  <c r="B5454"/>
  <c r="E5453"/>
  <c r="B5453"/>
  <c r="E5452"/>
  <c r="B5452"/>
  <c r="E5451"/>
  <c r="B5451"/>
  <c r="E5450"/>
  <c r="B5450"/>
  <c r="E5449"/>
  <c r="B5449"/>
  <c r="E5448"/>
  <c r="B5448"/>
  <c r="E5447"/>
  <c r="B5447"/>
  <c r="E5446"/>
  <c r="B5446"/>
  <c r="E5445"/>
  <c r="B5445"/>
  <c r="E5444"/>
  <c r="B5444"/>
  <c r="E5443"/>
  <c r="B5443"/>
  <c r="E5442"/>
  <c r="B5442"/>
  <c r="E5441"/>
  <c r="B5441"/>
  <c r="E5440"/>
  <c r="B5440"/>
  <c r="E5439"/>
  <c r="B5439"/>
  <c r="E5438"/>
  <c r="B5438"/>
  <c r="E5437"/>
  <c r="B5437"/>
  <c r="E5436"/>
  <c r="B5436"/>
  <c r="E5435"/>
  <c r="B5435"/>
  <c r="E5434"/>
  <c r="B5434"/>
  <c r="E5433"/>
  <c r="B5433"/>
  <c r="E5432"/>
  <c r="B5432"/>
  <c r="E5431"/>
  <c r="B5431"/>
  <c r="E5430"/>
  <c r="B5430"/>
  <c r="E5429"/>
  <c r="B5429"/>
  <c r="E5428"/>
  <c r="B5428"/>
  <c r="E5427"/>
  <c r="B5427"/>
  <c r="E5426"/>
  <c r="B5426"/>
  <c r="E5425"/>
  <c r="B5425"/>
  <c r="E5424"/>
  <c r="B5424"/>
  <c r="E5423"/>
  <c r="B5423"/>
  <c r="E5422"/>
  <c r="B5422"/>
  <c r="E5421"/>
  <c r="B5421"/>
  <c r="E5420"/>
  <c r="B5420"/>
  <c r="E5419"/>
  <c r="B5419"/>
  <c r="E5418"/>
  <c r="B5418"/>
  <c r="E5417"/>
  <c r="B5417"/>
  <c r="E5416"/>
  <c r="B5416"/>
  <c r="E5415"/>
  <c r="B5415"/>
  <c r="E5414"/>
  <c r="B5414"/>
  <c r="E5413"/>
  <c r="B5413"/>
  <c r="E5412"/>
  <c r="B5412"/>
  <c r="E5411"/>
  <c r="B5411"/>
  <c r="E5410"/>
  <c r="B5410"/>
  <c r="E5409"/>
  <c r="B5409"/>
  <c r="E5408"/>
  <c r="B5408"/>
  <c r="E5407"/>
  <c r="B5407"/>
  <c r="E5406"/>
  <c r="B5406"/>
  <c r="E5405"/>
  <c r="B5405"/>
  <c r="E5404"/>
  <c r="B5404"/>
  <c r="E5403"/>
  <c r="B5403"/>
  <c r="E5402"/>
  <c r="B5402"/>
  <c r="E5401"/>
  <c r="B5401"/>
  <c r="E5400"/>
  <c r="B5400"/>
  <c r="E5399"/>
  <c r="B5399"/>
  <c r="E5398"/>
  <c r="B5398"/>
  <c r="E5397"/>
  <c r="B5397"/>
  <c r="E5396"/>
  <c r="B5396"/>
  <c r="E5395"/>
  <c r="B5395"/>
  <c r="E5394"/>
  <c r="B5394"/>
  <c r="E5393"/>
  <c r="B5393"/>
  <c r="E5392"/>
  <c r="B5392"/>
  <c r="E5391"/>
  <c r="B5391"/>
  <c r="E5390"/>
  <c r="B5390"/>
  <c r="E5389"/>
  <c r="B5389"/>
  <c r="E5388"/>
  <c r="B5388"/>
  <c r="E5387"/>
  <c r="B5387"/>
  <c r="E5386"/>
  <c r="B5386"/>
  <c r="E5385"/>
  <c r="B5385"/>
  <c r="E5384"/>
  <c r="B5384"/>
  <c r="E5383"/>
  <c r="B5383"/>
  <c r="E5382"/>
  <c r="B5382"/>
  <c r="E5381"/>
  <c r="B5381"/>
  <c r="E5380"/>
  <c r="B5380"/>
  <c r="E5379"/>
  <c r="B5379"/>
  <c r="E5378"/>
  <c r="B5378"/>
  <c r="E5377"/>
  <c r="B5377"/>
  <c r="E5376"/>
  <c r="B5376"/>
  <c r="E5375"/>
  <c r="B5375"/>
  <c r="E5374"/>
  <c r="B5374"/>
  <c r="E5373"/>
  <c r="B5373"/>
  <c r="E5372"/>
  <c r="B5372"/>
  <c r="E5371"/>
  <c r="B5371"/>
  <c r="E5370"/>
  <c r="B5370"/>
  <c r="E5369"/>
  <c r="B5369"/>
  <c r="E5368"/>
  <c r="B5368"/>
  <c r="E5367"/>
  <c r="B5367"/>
  <c r="E5366"/>
  <c r="B5366"/>
  <c r="E5365"/>
  <c r="B5365"/>
  <c r="E5364"/>
  <c r="B5364"/>
  <c r="E5363"/>
  <c r="B5363"/>
  <c r="E5362"/>
  <c r="B5362"/>
  <c r="E5361"/>
  <c r="B5361"/>
  <c r="E5360"/>
  <c r="B5360"/>
  <c r="E5359"/>
  <c r="B5359"/>
  <c r="E5358"/>
  <c r="B5358"/>
  <c r="E5357"/>
  <c r="B5357"/>
  <c r="E5356"/>
  <c r="B5356"/>
  <c r="E5355"/>
  <c r="B5355"/>
  <c r="E5354"/>
  <c r="B5354"/>
  <c r="E5353"/>
  <c r="B5353"/>
  <c r="E5352"/>
  <c r="B5352"/>
  <c r="E5351"/>
  <c r="B5351"/>
  <c r="E5350"/>
  <c r="B5350"/>
  <c r="E5349"/>
  <c r="B5349"/>
  <c r="E5348"/>
  <c r="B5348"/>
  <c r="E5347"/>
  <c r="B5347"/>
  <c r="E5346"/>
  <c r="B5346"/>
  <c r="E5345"/>
  <c r="B5345"/>
  <c r="E5344"/>
  <c r="B5344"/>
  <c r="E5343"/>
  <c r="B5343"/>
  <c r="E5342"/>
  <c r="B5342"/>
  <c r="E5341"/>
  <c r="B5341"/>
  <c r="E5340"/>
  <c r="B5340"/>
  <c r="E5339"/>
  <c r="B5339"/>
  <c r="E5338"/>
  <c r="B5338"/>
  <c r="E5337"/>
  <c r="B5337"/>
  <c r="E5336"/>
  <c r="B5336"/>
  <c r="E5335"/>
  <c r="B5335"/>
  <c r="E5334"/>
  <c r="B5334"/>
  <c r="E5333"/>
  <c r="B5333"/>
  <c r="E5332"/>
  <c r="B5332"/>
  <c r="E5331"/>
  <c r="B5331"/>
  <c r="E5330"/>
  <c r="B5330"/>
  <c r="E5329"/>
  <c r="B5329"/>
  <c r="E5328"/>
  <c r="B5328"/>
  <c r="E5327"/>
  <c r="B5327"/>
  <c r="E5326"/>
  <c r="B5326"/>
  <c r="E5325"/>
  <c r="B5325"/>
  <c r="E5324"/>
  <c r="B5324"/>
  <c r="E5323"/>
  <c r="B5323"/>
  <c r="E5322"/>
  <c r="B5322"/>
  <c r="E5321"/>
  <c r="B5321"/>
  <c r="E5320"/>
  <c r="B5320"/>
  <c r="E5319"/>
  <c r="B5319"/>
  <c r="E5318"/>
  <c r="B5318"/>
  <c r="E5317"/>
  <c r="B5317"/>
  <c r="E5316"/>
  <c r="B5316"/>
  <c r="E5315"/>
  <c r="B5315"/>
  <c r="E5314"/>
  <c r="B5314"/>
  <c r="E5313"/>
  <c r="B5313"/>
  <c r="E5312"/>
  <c r="B5312"/>
  <c r="E5311"/>
  <c r="B5311"/>
  <c r="E5310"/>
  <c r="B5310"/>
  <c r="E5309"/>
  <c r="B5309"/>
  <c r="E5308"/>
  <c r="B5308"/>
  <c r="E5307"/>
  <c r="B5307"/>
  <c r="E5306"/>
  <c r="B5306"/>
  <c r="E5305"/>
  <c r="B5305"/>
  <c r="E5304"/>
  <c r="B5304"/>
  <c r="E5303"/>
  <c r="B5303"/>
  <c r="E5302"/>
  <c r="B5302"/>
  <c r="E5301"/>
  <c r="B5301"/>
  <c r="E5300"/>
  <c r="B5300"/>
  <c r="E5299"/>
  <c r="B5299"/>
  <c r="E5298"/>
  <c r="B5298"/>
  <c r="E5297"/>
  <c r="B5297"/>
  <c r="E5296"/>
  <c r="B5296"/>
  <c r="E5295"/>
  <c r="B5295"/>
  <c r="E5294"/>
  <c r="B5294"/>
  <c r="E5293"/>
  <c r="B5293"/>
  <c r="E5292"/>
  <c r="B5292"/>
  <c r="E5291"/>
  <c r="B5291"/>
  <c r="E5290"/>
  <c r="B5290"/>
  <c r="E5289"/>
  <c r="B5289"/>
  <c r="E5288"/>
  <c r="B5288"/>
  <c r="E5287"/>
  <c r="B5287"/>
  <c r="E5286"/>
  <c r="B5286"/>
  <c r="E5285"/>
  <c r="B5285"/>
  <c r="E5284"/>
  <c r="B5284"/>
  <c r="E5283"/>
  <c r="B5283"/>
  <c r="E5282"/>
  <c r="B5282"/>
  <c r="E5281"/>
  <c r="B5281"/>
  <c r="E5280"/>
  <c r="B5280"/>
  <c r="E5279"/>
  <c r="B5279"/>
  <c r="E5278"/>
  <c r="B5278"/>
  <c r="E5277"/>
  <c r="B5277"/>
  <c r="E5276"/>
  <c r="B5276"/>
  <c r="E5275"/>
  <c r="B5275"/>
  <c r="E5274"/>
  <c r="B5274"/>
  <c r="E5273"/>
  <c r="B5273"/>
  <c r="E5272"/>
  <c r="B5272"/>
  <c r="E5271"/>
  <c r="B5271"/>
  <c r="E5270"/>
  <c r="B5270"/>
  <c r="E5269"/>
  <c r="B5269"/>
  <c r="E5268"/>
  <c r="B5268"/>
  <c r="E5267"/>
  <c r="B5267"/>
  <c r="E5266"/>
  <c r="B5266"/>
  <c r="E5265"/>
  <c r="B5265"/>
  <c r="E5264"/>
  <c r="B5264"/>
  <c r="E5263"/>
  <c r="B5263"/>
  <c r="E5262"/>
  <c r="B5262"/>
  <c r="E5261"/>
  <c r="B5261"/>
  <c r="E5260"/>
  <c r="B5260"/>
  <c r="E5259"/>
  <c r="B5259"/>
  <c r="E5258"/>
  <c r="B5258"/>
  <c r="E5257"/>
  <c r="B5257"/>
  <c r="E5256"/>
  <c r="B5256"/>
  <c r="E5255"/>
  <c r="B5255"/>
  <c r="E5254"/>
  <c r="B5254"/>
  <c r="E5253"/>
  <c r="B5253"/>
  <c r="E5252"/>
  <c r="B5252"/>
  <c r="E5251"/>
  <c r="B5251"/>
  <c r="E5250"/>
  <c r="B5250"/>
  <c r="E5249"/>
  <c r="B5249"/>
  <c r="E5248"/>
  <c r="B5248"/>
  <c r="E5247"/>
  <c r="B5247"/>
  <c r="E5246"/>
  <c r="B5246"/>
  <c r="E5245"/>
  <c r="B5245"/>
  <c r="E5244"/>
  <c r="B5244"/>
  <c r="E5243"/>
  <c r="B5243"/>
  <c r="E5242"/>
  <c r="B5242"/>
  <c r="E5241"/>
  <c r="B5241"/>
  <c r="E5240"/>
  <c r="B5240"/>
  <c r="E5239"/>
  <c r="B5239"/>
  <c r="E5238"/>
  <c r="B5238"/>
  <c r="E5237"/>
  <c r="B5237"/>
  <c r="E5236"/>
  <c r="B5236"/>
  <c r="E5235"/>
  <c r="B5235"/>
  <c r="E5234"/>
  <c r="B5234"/>
  <c r="E5233"/>
  <c r="B5233"/>
  <c r="E5232"/>
  <c r="B5232"/>
  <c r="E5231"/>
  <c r="B5231"/>
  <c r="E5230"/>
  <c r="B5230"/>
  <c r="E5229"/>
  <c r="B5229"/>
  <c r="E5228"/>
  <c r="B5228"/>
  <c r="E5227"/>
  <c r="B5227"/>
  <c r="E5226"/>
  <c r="B5226"/>
  <c r="E5225"/>
  <c r="B5225"/>
  <c r="E5224"/>
  <c r="B5224"/>
  <c r="E5223"/>
  <c r="B5223"/>
  <c r="E5222"/>
  <c r="B5222"/>
  <c r="E5221"/>
  <c r="B5221"/>
  <c r="E5220"/>
  <c r="B5220"/>
  <c r="E5219"/>
  <c r="B5219"/>
  <c r="E5218"/>
  <c r="B5218"/>
  <c r="E5217"/>
  <c r="B5217"/>
  <c r="E5216"/>
  <c r="B5216"/>
  <c r="E5215"/>
  <c r="B5215"/>
  <c r="E5214"/>
  <c r="B5214"/>
  <c r="E5213"/>
  <c r="B5213"/>
  <c r="E5212"/>
  <c r="B5212"/>
  <c r="E5211"/>
  <c r="B5211"/>
  <c r="E5210"/>
  <c r="B5210"/>
  <c r="E5209"/>
  <c r="B5209"/>
  <c r="E5208"/>
  <c r="B5208"/>
  <c r="E5207"/>
  <c r="B5207"/>
  <c r="E5206"/>
  <c r="B5206"/>
  <c r="E5205"/>
  <c r="B5205"/>
  <c r="E5204"/>
  <c r="B5204"/>
  <c r="E5203"/>
  <c r="B5203"/>
  <c r="E5202"/>
  <c r="B5202"/>
  <c r="E5201"/>
  <c r="B5201"/>
  <c r="E5200"/>
  <c r="B5200"/>
  <c r="E5199"/>
  <c r="B5199"/>
  <c r="E5198"/>
  <c r="B5198"/>
  <c r="E5197"/>
  <c r="B5197"/>
  <c r="E5196"/>
  <c r="B5196"/>
  <c r="E5195"/>
  <c r="B5195"/>
  <c r="E5194"/>
  <c r="B5194"/>
  <c r="E5193"/>
  <c r="B5193"/>
  <c r="E5192"/>
  <c r="B5192"/>
  <c r="E5191"/>
  <c r="B5191"/>
  <c r="E5190"/>
  <c r="B5190"/>
  <c r="E5189"/>
  <c r="B5189"/>
  <c r="E5188"/>
  <c r="B5188"/>
  <c r="E5187"/>
  <c r="B5187"/>
  <c r="E5186"/>
  <c r="B5186"/>
  <c r="E5185"/>
  <c r="B5185"/>
  <c r="E5184"/>
  <c r="B5184"/>
  <c r="E5183"/>
  <c r="B5183"/>
  <c r="E5182"/>
  <c r="B5182"/>
  <c r="E5181"/>
  <c r="B5181"/>
  <c r="E5180"/>
  <c r="B5180"/>
  <c r="E5179"/>
  <c r="B5179"/>
  <c r="E5178"/>
  <c r="B5178"/>
  <c r="E5177"/>
  <c r="B5177"/>
  <c r="E5176"/>
  <c r="B5176"/>
  <c r="E5175"/>
  <c r="B5175"/>
  <c r="E5174"/>
  <c r="B5174"/>
  <c r="E5173"/>
  <c r="B5173"/>
  <c r="E5172"/>
  <c r="B5172"/>
  <c r="E5171"/>
  <c r="B5171"/>
  <c r="E5170"/>
  <c r="B5170"/>
  <c r="E5169"/>
  <c r="B5169"/>
  <c r="E5168"/>
  <c r="B5168"/>
  <c r="E5167"/>
  <c r="B5167"/>
  <c r="E5166"/>
  <c r="B5166"/>
  <c r="E5165"/>
  <c r="B5165"/>
  <c r="E5164"/>
  <c r="B5164"/>
  <c r="E5163"/>
  <c r="B5163"/>
  <c r="E5162"/>
  <c r="B5162"/>
  <c r="E5161"/>
  <c r="B5161"/>
  <c r="E5160"/>
  <c r="B5160"/>
  <c r="E5159"/>
  <c r="B5159"/>
  <c r="E5158"/>
  <c r="B5158"/>
  <c r="E5157"/>
  <c r="B5157"/>
  <c r="E5156"/>
  <c r="B5156"/>
  <c r="E5155"/>
  <c r="B5155"/>
  <c r="E5154"/>
  <c r="B5154"/>
  <c r="E5153"/>
  <c r="B5153"/>
  <c r="E5152"/>
  <c r="B5152"/>
  <c r="E5151"/>
  <c r="B5151"/>
  <c r="E5150"/>
  <c r="B5150"/>
  <c r="E5149"/>
  <c r="B5149"/>
  <c r="E5148"/>
  <c r="B5148"/>
  <c r="E5147"/>
  <c r="B5147"/>
  <c r="E5146"/>
  <c r="B5146"/>
  <c r="E5145"/>
  <c r="B5145"/>
  <c r="E5144"/>
  <c r="B5144"/>
  <c r="E5143"/>
  <c r="B5143"/>
  <c r="E5142"/>
  <c r="B5142"/>
  <c r="E5141"/>
  <c r="B5141"/>
  <c r="E5140"/>
  <c r="B5140"/>
  <c r="E5139"/>
  <c r="B5139"/>
  <c r="E5138"/>
  <c r="B5138"/>
  <c r="E5137"/>
  <c r="B5137"/>
  <c r="E5136"/>
  <c r="B5136"/>
  <c r="E5135"/>
  <c r="B5135"/>
  <c r="E5134"/>
  <c r="B5134"/>
  <c r="E5133"/>
  <c r="B5133"/>
  <c r="E5132"/>
  <c r="B5132"/>
  <c r="E5131"/>
  <c r="B5131"/>
  <c r="E5130"/>
  <c r="B5130"/>
  <c r="E5129"/>
  <c r="B5129"/>
  <c r="E5128"/>
  <c r="B5128"/>
  <c r="E5127"/>
  <c r="B5127"/>
  <c r="E5126"/>
  <c r="B5126"/>
  <c r="E5125"/>
  <c r="B5125"/>
  <c r="E5124"/>
  <c r="B5124"/>
  <c r="E5123"/>
  <c r="B5123"/>
  <c r="E5122"/>
  <c r="B5122"/>
  <c r="E5121"/>
  <c r="B5121"/>
  <c r="E5120"/>
  <c r="B5120"/>
  <c r="E5119"/>
  <c r="B5119"/>
  <c r="E5118"/>
  <c r="B5118"/>
  <c r="E5117"/>
  <c r="B5117"/>
  <c r="E5116"/>
  <c r="B5116"/>
  <c r="E5115"/>
  <c r="B5115"/>
  <c r="E5114"/>
  <c r="B5114"/>
  <c r="E5113"/>
  <c r="B5113"/>
  <c r="E5112"/>
  <c r="B5112"/>
  <c r="E5111"/>
  <c r="B5111"/>
  <c r="E5110"/>
  <c r="B5110"/>
  <c r="E5109"/>
  <c r="B5109"/>
  <c r="E5108"/>
  <c r="B5108"/>
  <c r="E5107"/>
  <c r="B5107"/>
  <c r="E5106"/>
  <c r="B5106"/>
  <c r="E5105"/>
  <c r="B5105"/>
  <c r="E5104"/>
  <c r="B5104"/>
  <c r="E5103"/>
  <c r="B5103"/>
  <c r="E5102"/>
  <c r="B5102"/>
  <c r="E5101"/>
  <c r="B5101"/>
  <c r="E5100"/>
  <c r="B5100"/>
  <c r="E5099"/>
  <c r="B5099"/>
  <c r="E5098"/>
  <c r="B5098"/>
  <c r="E5097"/>
  <c r="B5097"/>
  <c r="E5096"/>
  <c r="B5096"/>
  <c r="E5095"/>
  <c r="B5095"/>
  <c r="E5094"/>
  <c r="B5094"/>
  <c r="E5093"/>
  <c r="B5093"/>
  <c r="E5092"/>
  <c r="B5092"/>
  <c r="E5091"/>
  <c r="B5091"/>
  <c r="E5090"/>
  <c r="B5090"/>
  <c r="E5089"/>
  <c r="B5089"/>
  <c r="E5088"/>
  <c r="B5088"/>
  <c r="E5087"/>
  <c r="B5087"/>
  <c r="E5086"/>
  <c r="B5086"/>
  <c r="E5085"/>
  <c r="B5085"/>
  <c r="E5084"/>
  <c r="B5084"/>
  <c r="E5083"/>
  <c r="B5083"/>
  <c r="E5082"/>
  <c r="B5082"/>
  <c r="E5081"/>
  <c r="B5081"/>
  <c r="E5080"/>
  <c r="B5080"/>
  <c r="E5079"/>
  <c r="B5079"/>
  <c r="E5078"/>
  <c r="B5078"/>
  <c r="E5077"/>
  <c r="B5077"/>
  <c r="E5076"/>
  <c r="B5076"/>
  <c r="E5075"/>
  <c r="B5075"/>
  <c r="E5074"/>
  <c r="B5074"/>
  <c r="E5073"/>
  <c r="B5073"/>
  <c r="E5072"/>
  <c r="B5072"/>
  <c r="E5071"/>
  <c r="B5071"/>
  <c r="E5070"/>
  <c r="B5070"/>
  <c r="E5069"/>
  <c r="B5069"/>
  <c r="E5068"/>
  <c r="B5068"/>
  <c r="E5067"/>
  <c r="B5067"/>
  <c r="E5066"/>
  <c r="B5066"/>
  <c r="E5065"/>
  <c r="B5065"/>
  <c r="E5064"/>
  <c r="B5064"/>
  <c r="E5063"/>
  <c r="B5063"/>
  <c r="E5062"/>
  <c r="B5062"/>
  <c r="E5061"/>
  <c r="B5061"/>
  <c r="E5060"/>
  <c r="B5060"/>
  <c r="E5059"/>
  <c r="B5059"/>
  <c r="E5058"/>
  <c r="B5058"/>
  <c r="E5057"/>
  <c r="B5057"/>
  <c r="E5056"/>
  <c r="B5056"/>
  <c r="E5055"/>
  <c r="B5055"/>
  <c r="E5054"/>
  <c r="B5054"/>
  <c r="E5053"/>
  <c r="B5053"/>
  <c r="E5052"/>
  <c r="B5052"/>
  <c r="E5051"/>
  <c r="B5051"/>
  <c r="E5050"/>
  <c r="B5050"/>
  <c r="E5049"/>
  <c r="B5049"/>
  <c r="E5048"/>
  <c r="B5048"/>
  <c r="E5047"/>
  <c r="B5047"/>
  <c r="E5046"/>
  <c r="B5046"/>
  <c r="E5045"/>
  <c r="B5045"/>
  <c r="E5044"/>
  <c r="B5044"/>
  <c r="E5043"/>
  <c r="B5043"/>
  <c r="E5042"/>
  <c r="B5042"/>
  <c r="E5041"/>
  <c r="B5041"/>
  <c r="E5040"/>
  <c r="B5040"/>
  <c r="E5039"/>
  <c r="B5039"/>
  <c r="E5038"/>
  <c r="B5038"/>
  <c r="E5037"/>
  <c r="B5037"/>
  <c r="E5036"/>
  <c r="B5036"/>
  <c r="E5035"/>
  <c r="B5035"/>
  <c r="E5034"/>
  <c r="B5034"/>
  <c r="E5033"/>
  <c r="B5033"/>
  <c r="E5032"/>
  <c r="B5032"/>
  <c r="E5031"/>
  <c r="B5031"/>
  <c r="E5030"/>
  <c r="B5030"/>
  <c r="E5029"/>
  <c r="B5029"/>
  <c r="E5028"/>
  <c r="B5028"/>
  <c r="E5027"/>
  <c r="B5027"/>
  <c r="E5026"/>
  <c r="B5026"/>
  <c r="E5025"/>
  <c r="B5025"/>
  <c r="E5024"/>
  <c r="B5024"/>
  <c r="E5023"/>
  <c r="B5023"/>
  <c r="E5022"/>
  <c r="B5022"/>
  <c r="E5021"/>
  <c r="B5021"/>
  <c r="E5020"/>
  <c r="B5020"/>
  <c r="E5019"/>
  <c r="B5019"/>
  <c r="E5018"/>
  <c r="B5018"/>
  <c r="E5017"/>
  <c r="B5017"/>
  <c r="E5016"/>
  <c r="B5016"/>
  <c r="E5015"/>
  <c r="B5015"/>
  <c r="E5014"/>
  <c r="B5014"/>
  <c r="E5013"/>
  <c r="B5013"/>
  <c r="E5012"/>
  <c r="B5012"/>
  <c r="E5011"/>
  <c r="B5011"/>
  <c r="E5010"/>
  <c r="B5010"/>
  <c r="E5009"/>
  <c r="B5009"/>
  <c r="E5008"/>
  <c r="B5008"/>
  <c r="E5007"/>
  <c r="B5007"/>
  <c r="E5006"/>
  <c r="B5006"/>
  <c r="E5005"/>
  <c r="B5005"/>
  <c r="E5004"/>
  <c r="B5004"/>
  <c r="E5003"/>
  <c r="B5003"/>
  <c r="E5002"/>
  <c r="B5002"/>
  <c r="E5001"/>
  <c r="B5001"/>
  <c r="E5000"/>
  <c r="B5000"/>
  <c r="E4999"/>
  <c r="B4999"/>
  <c r="E4998"/>
  <c r="B4998"/>
  <c r="E4997"/>
  <c r="B4997"/>
  <c r="E4996"/>
  <c r="B4996"/>
  <c r="E4995"/>
  <c r="B4995"/>
  <c r="E4994"/>
  <c r="B4994"/>
  <c r="E4993"/>
  <c r="B4993"/>
  <c r="E4992"/>
  <c r="B4992"/>
  <c r="E4991"/>
  <c r="B4991"/>
  <c r="E4990"/>
  <c r="B4990"/>
  <c r="E4989"/>
  <c r="B4989"/>
  <c r="E4988"/>
  <c r="B4988"/>
  <c r="E4987"/>
  <c r="B4987"/>
  <c r="E4986"/>
  <c r="B4986"/>
  <c r="E4985"/>
  <c r="B4985"/>
  <c r="E4984"/>
  <c r="B4984"/>
  <c r="E4983"/>
  <c r="B4983"/>
  <c r="E4982"/>
  <c r="B4982"/>
  <c r="E4981"/>
  <c r="B4981"/>
  <c r="E4980"/>
  <c r="B4980"/>
  <c r="E4979"/>
  <c r="B4979"/>
  <c r="E4978"/>
  <c r="B4978"/>
  <c r="E4977"/>
  <c r="B4977"/>
  <c r="E4976"/>
  <c r="B4976"/>
  <c r="E4975"/>
  <c r="B4975"/>
  <c r="E4974"/>
  <c r="B4974"/>
  <c r="E4973"/>
  <c r="B4973"/>
  <c r="E4972"/>
  <c r="B4972"/>
  <c r="E4971"/>
  <c r="B4971"/>
  <c r="E4970"/>
  <c r="B4970"/>
  <c r="E4969"/>
  <c r="B4969"/>
  <c r="E4968"/>
  <c r="B4968"/>
  <c r="E4967"/>
  <c r="B4967"/>
  <c r="E4966"/>
  <c r="B4966"/>
  <c r="E4965"/>
  <c r="B4965"/>
  <c r="E4964"/>
  <c r="B4964"/>
  <c r="E4963"/>
  <c r="B4963"/>
  <c r="E4962"/>
  <c r="B4962"/>
  <c r="E4961"/>
  <c r="B4961"/>
  <c r="E4960"/>
  <c r="B4960"/>
  <c r="E4959"/>
  <c r="B4959"/>
  <c r="E4958"/>
  <c r="B4958"/>
  <c r="E4957"/>
  <c r="B4957"/>
  <c r="E4956"/>
  <c r="B4956"/>
  <c r="E4955"/>
  <c r="B4955"/>
  <c r="E4954"/>
  <c r="B4954"/>
  <c r="E4953"/>
  <c r="B4953"/>
  <c r="E4952"/>
  <c r="B4952"/>
  <c r="E4951"/>
  <c r="B4951"/>
  <c r="E4950"/>
  <c r="B4950"/>
  <c r="E4949"/>
  <c r="B4949"/>
  <c r="E4948"/>
  <c r="B4948"/>
  <c r="E4947"/>
  <c r="B4947"/>
  <c r="E4946"/>
  <c r="B4946"/>
  <c r="E4945"/>
  <c r="B4945"/>
  <c r="E4944"/>
  <c r="B4944"/>
  <c r="E4943"/>
  <c r="B4943"/>
  <c r="E4942"/>
  <c r="B4942"/>
  <c r="E4941"/>
  <c r="B4941"/>
  <c r="E4940"/>
  <c r="B4940"/>
  <c r="E4939"/>
  <c r="B4939"/>
  <c r="E4938"/>
  <c r="B4938"/>
  <c r="E4937"/>
  <c r="B4937"/>
  <c r="E4936"/>
  <c r="B4936"/>
  <c r="E4935"/>
  <c r="B4935"/>
  <c r="E4934"/>
  <c r="B4934"/>
  <c r="E4933"/>
  <c r="B4933"/>
  <c r="E4932"/>
  <c r="B4932"/>
  <c r="E4931"/>
  <c r="B4931"/>
  <c r="E4930"/>
  <c r="B4930"/>
  <c r="E4929"/>
  <c r="B4929"/>
  <c r="E4928"/>
  <c r="B4928"/>
  <c r="E4927"/>
  <c r="B4927"/>
  <c r="E4926"/>
  <c r="B4926"/>
  <c r="E4925"/>
  <c r="B4925"/>
  <c r="E4924"/>
  <c r="B4924"/>
  <c r="E4923"/>
  <c r="B4923"/>
  <c r="E4922"/>
  <c r="B4922"/>
  <c r="E4921"/>
  <c r="B4921"/>
  <c r="E4920"/>
  <c r="B4920"/>
  <c r="E4919"/>
  <c r="B4919"/>
  <c r="E4918"/>
  <c r="B4918"/>
  <c r="E4917"/>
  <c r="B4917"/>
  <c r="E4916"/>
  <c r="B4916"/>
  <c r="E4915"/>
  <c r="B4915"/>
  <c r="E4914"/>
  <c r="B4914"/>
  <c r="E4913"/>
  <c r="B4913"/>
  <c r="E4912"/>
  <c r="B4912"/>
  <c r="E4911"/>
  <c r="B4911"/>
  <c r="E4910"/>
  <c r="B4910"/>
  <c r="E4909"/>
  <c r="B4909"/>
  <c r="E4908"/>
  <c r="B4908"/>
  <c r="E4907"/>
  <c r="B4907"/>
  <c r="E4906"/>
  <c r="B4906"/>
  <c r="E4905"/>
  <c r="B4905"/>
  <c r="E4904"/>
  <c r="B4904"/>
  <c r="E4903"/>
  <c r="B4903"/>
  <c r="E4902"/>
  <c r="B4902"/>
  <c r="E4901"/>
  <c r="B4901"/>
  <c r="E4900"/>
  <c r="B4900"/>
  <c r="E4899"/>
  <c r="B4899"/>
  <c r="E4898"/>
  <c r="B4898"/>
  <c r="E4897"/>
  <c r="B4897"/>
  <c r="E4896"/>
  <c r="B4896"/>
  <c r="E4895"/>
  <c r="B4895"/>
  <c r="E4894"/>
  <c r="B4894"/>
  <c r="E4893"/>
  <c r="B4893"/>
  <c r="E4892"/>
  <c r="B4892"/>
  <c r="E4891"/>
  <c r="B4891"/>
  <c r="E4890"/>
  <c r="B4890"/>
  <c r="E4889"/>
  <c r="B4889"/>
  <c r="E4888"/>
  <c r="B4888"/>
  <c r="E4887"/>
  <c r="B4887"/>
  <c r="E4886"/>
  <c r="B4886"/>
  <c r="E4885"/>
  <c r="B4885"/>
  <c r="E4884"/>
  <c r="B4884"/>
  <c r="E4883"/>
  <c r="B4883"/>
  <c r="E4882"/>
  <c r="B4882"/>
  <c r="E4881"/>
  <c r="B4881"/>
  <c r="E4880"/>
  <c r="B4880"/>
  <c r="E4879"/>
  <c r="B4879"/>
  <c r="E4878"/>
  <c r="B4878"/>
  <c r="E4877"/>
  <c r="B4877"/>
  <c r="E4876"/>
  <c r="B4876"/>
  <c r="E4875"/>
  <c r="B4875"/>
  <c r="E4874"/>
  <c r="B4874"/>
  <c r="E4873"/>
  <c r="B4873"/>
  <c r="E4872"/>
  <c r="B4872"/>
  <c r="E4871"/>
  <c r="B4871"/>
  <c r="E4870"/>
  <c r="B4870"/>
  <c r="E4869"/>
  <c r="B4869"/>
  <c r="E4868"/>
  <c r="B4868"/>
  <c r="E4867"/>
  <c r="B4867"/>
  <c r="E4866"/>
  <c r="B4866"/>
  <c r="E4865"/>
  <c r="B4865"/>
  <c r="E4864"/>
  <c r="B4864"/>
  <c r="E4863"/>
  <c r="B4863"/>
  <c r="E4862"/>
  <c r="B4862"/>
  <c r="E4861"/>
  <c r="B4861"/>
  <c r="E4860"/>
  <c r="B4860"/>
  <c r="E4859"/>
  <c r="B4859"/>
  <c r="E4858"/>
  <c r="B4858"/>
  <c r="E4857"/>
  <c r="B4857"/>
  <c r="E4856"/>
  <c r="B4856"/>
  <c r="E4855"/>
  <c r="B4855"/>
  <c r="E4854"/>
  <c r="B4854"/>
  <c r="E4853"/>
  <c r="B4853"/>
  <c r="E4852"/>
  <c r="B4852"/>
  <c r="E4851"/>
  <c r="B4851"/>
  <c r="E4850"/>
  <c r="B4850"/>
  <c r="E4849"/>
  <c r="B4849"/>
  <c r="E4848"/>
  <c r="B4848"/>
  <c r="E4847"/>
  <c r="B4847"/>
  <c r="E4846"/>
  <c r="B4846"/>
  <c r="E4845"/>
  <c r="B4845"/>
  <c r="E4844"/>
  <c r="B4844"/>
  <c r="E4843"/>
  <c r="B4843"/>
  <c r="E4842"/>
  <c r="B4842"/>
  <c r="E4841"/>
  <c r="B4841"/>
  <c r="E4840"/>
  <c r="B4840"/>
  <c r="E4839"/>
  <c r="B4839"/>
  <c r="E4838"/>
  <c r="B4838"/>
  <c r="E4837"/>
  <c r="B4837"/>
  <c r="E4836"/>
  <c r="B4836"/>
  <c r="E4835"/>
  <c r="B4835"/>
  <c r="E4834"/>
  <c r="B4834"/>
  <c r="E4833"/>
  <c r="B4833"/>
  <c r="E4832"/>
  <c r="B4832"/>
  <c r="E4831"/>
  <c r="B4831"/>
  <c r="E4830"/>
  <c r="B4830"/>
  <c r="E4829"/>
  <c r="B4829"/>
  <c r="E4828"/>
  <c r="B4828"/>
  <c r="E4827"/>
  <c r="B4827"/>
  <c r="E4826"/>
  <c r="B4826"/>
  <c r="E4825"/>
  <c r="B4825"/>
  <c r="E4824"/>
  <c r="B4824"/>
  <c r="E4823"/>
  <c r="B4823"/>
  <c r="E4822"/>
  <c r="B4822"/>
  <c r="E4821"/>
  <c r="B4821"/>
  <c r="E4820"/>
  <c r="B4820"/>
  <c r="E4819"/>
  <c r="B4819"/>
  <c r="E4818"/>
  <c r="B4818"/>
  <c r="E4817"/>
  <c r="B4817"/>
  <c r="E4816"/>
  <c r="B4816"/>
  <c r="E4815"/>
  <c r="B4815"/>
  <c r="E4814"/>
  <c r="B4814"/>
  <c r="E4813"/>
  <c r="B4813"/>
  <c r="E4812"/>
  <c r="B4812"/>
  <c r="E4811"/>
  <c r="B4811"/>
  <c r="E4810"/>
  <c r="B4810"/>
  <c r="E4809"/>
  <c r="B4809"/>
  <c r="E4808"/>
  <c r="B4808"/>
  <c r="E4807"/>
  <c r="B4807"/>
  <c r="E4806"/>
  <c r="B4806"/>
  <c r="E4805"/>
  <c r="B4805"/>
  <c r="E4804"/>
  <c r="B4804"/>
  <c r="E4803"/>
  <c r="B4803"/>
  <c r="E4802"/>
  <c r="B4802"/>
  <c r="E4801"/>
  <c r="B4801"/>
  <c r="E4800"/>
  <c r="B4800"/>
  <c r="E4799"/>
  <c r="B4799"/>
  <c r="E4798"/>
  <c r="B4798"/>
  <c r="E4797"/>
  <c r="B4797"/>
  <c r="E4796"/>
  <c r="B4796"/>
  <c r="E4795"/>
  <c r="B4795"/>
  <c r="E4794"/>
  <c r="B4794"/>
  <c r="E4793"/>
  <c r="B4793"/>
  <c r="E4792"/>
  <c r="B4792"/>
  <c r="E4791"/>
  <c r="B4791"/>
  <c r="E4790"/>
  <c r="B4790"/>
  <c r="E4789"/>
  <c r="B4789"/>
  <c r="E4788"/>
  <c r="B4788"/>
  <c r="E4787"/>
  <c r="B4787"/>
  <c r="E4786"/>
  <c r="B4786"/>
  <c r="E4785"/>
  <c r="B4785"/>
  <c r="E4784"/>
  <c r="B4784"/>
  <c r="E4783"/>
  <c r="B4783"/>
  <c r="E4782"/>
  <c r="B4782"/>
  <c r="E4781"/>
  <c r="B4781"/>
  <c r="E4780"/>
  <c r="B4780"/>
  <c r="E4779"/>
  <c r="B4779"/>
  <c r="E4778"/>
  <c r="B4778"/>
  <c r="E4777"/>
  <c r="B4777"/>
  <c r="E4776"/>
  <c r="B4776"/>
  <c r="E4775"/>
  <c r="B4775"/>
  <c r="E4774"/>
  <c r="B4774"/>
  <c r="E4773"/>
  <c r="B4773"/>
  <c r="E4772"/>
  <c r="B4772"/>
  <c r="E4771"/>
  <c r="B4771"/>
  <c r="E4770"/>
  <c r="B4770"/>
  <c r="E4769"/>
  <c r="B4769"/>
  <c r="E4768"/>
  <c r="B4768"/>
  <c r="E4767"/>
  <c r="B4767"/>
  <c r="E4766"/>
  <c r="B4766"/>
  <c r="E4765"/>
  <c r="B4765"/>
  <c r="E4764"/>
  <c r="B4764"/>
  <c r="E4763"/>
  <c r="B4763"/>
  <c r="E4762"/>
  <c r="B4762"/>
  <c r="E4761"/>
  <c r="B4761"/>
  <c r="E4760"/>
  <c r="B4760"/>
  <c r="E4759"/>
  <c r="B4759"/>
  <c r="E4758"/>
  <c r="B4758"/>
  <c r="E4757"/>
  <c r="B4757"/>
  <c r="E4756"/>
  <c r="B4756"/>
  <c r="E4755"/>
  <c r="B4755"/>
  <c r="E4754"/>
  <c r="B4754"/>
  <c r="E4753"/>
  <c r="B4753"/>
  <c r="E4752"/>
  <c r="B4752"/>
  <c r="E4751"/>
  <c r="B4751"/>
  <c r="E4750"/>
  <c r="B4750"/>
  <c r="E4749"/>
  <c r="B4749"/>
  <c r="E4748"/>
  <c r="B4748"/>
  <c r="E4747"/>
  <c r="B4747"/>
  <c r="E4746"/>
  <c r="B4746"/>
  <c r="E4745"/>
  <c r="B4745"/>
  <c r="E4744"/>
  <c r="B4744"/>
  <c r="E4743"/>
  <c r="B4743"/>
  <c r="E4742"/>
  <c r="B4742"/>
  <c r="E4741"/>
  <c r="B4741"/>
  <c r="E4740"/>
  <c r="B4740"/>
  <c r="E4739"/>
  <c r="B4739"/>
  <c r="E4738"/>
  <c r="B4738"/>
  <c r="E4737"/>
  <c r="B4737"/>
  <c r="E4736"/>
  <c r="B4736"/>
  <c r="E4735"/>
  <c r="B4735"/>
  <c r="E4734"/>
  <c r="B4734"/>
  <c r="E4733"/>
  <c r="B4733"/>
  <c r="E4732"/>
  <c r="B4732"/>
  <c r="E4731"/>
  <c r="B4731"/>
  <c r="E4730"/>
  <c r="B4730"/>
  <c r="E4729"/>
  <c r="B4729"/>
  <c r="E4728"/>
  <c r="B4728"/>
  <c r="E4727"/>
  <c r="B4727"/>
  <c r="E4726"/>
  <c r="B4726"/>
  <c r="E4725"/>
  <c r="B4725"/>
  <c r="E4724"/>
  <c r="B4724"/>
  <c r="E4723"/>
  <c r="B4723"/>
  <c r="E4722"/>
  <c r="B4722"/>
  <c r="E4721"/>
  <c r="B4721"/>
  <c r="E4720"/>
  <c r="B4720"/>
  <c r="E4719"/>
  <c r="B4719"/>
  <c r="E4718"/>
  <c r="B4718"/>
  <c r="E4717"/>
  <c r="B4717"/>
  <c r="E4716"/>
  <c r="B4716"/>
  <c r="E4715"/>
  <c r="B4715"/>
  <c r="E4714"/>
  <c r="B4714"/>
  <c r="E4713"/>
  <c r="B4713"/>
  <c r="E4712"/>
  <c r="B4712"/>
  <c r="E4711"/>
  <c r="B4711"/>
  <c r="E4710"/>
  <c r="B4710"/>
  <c r="E4709"/>
  <c r="B4709"/>
  <c r="E4708"/>
  <c r="B4708"/>
  <c r="E4707"/>
  <c r="B4707"/>
  <c r="E4706"/>
  <c r="B4706"/>
  <c r="E4705"/>
  <c r="B4705"/>
  <c r="E4704"/>
  <c r="B4704"/>
  <c r="E4703"/>
  <c r="B4703"/>
  <c r="E4702"/>
  <c r="B4702"/>
  <c r="E4701"/>
  <c r="B4701"/>
  <c r="E4700"/>
  <c r="B4700"/>
  <c r="E4699"/>
  <c r="B4699"/>
  <c r="E4698"/>
  <c r="B4698"/>
  <c r="E4697"/>
  <c r="B4697"/>
  <c r="E4696"/>
  <c r="B4696"/>
  <c r="E4695"/>
  <c r="B4695"/>
  <c r="E4694"/>
  <c r="B4694"/>
  <c r="E4693"/>
  <c r="B4693"/>
  <c r="E4692"/>
  <c r="B4692"/>
  <c r="E4691"/>
  <c r="B4691"/>
  <c r="E4690"/>
  <c r="B4690"/>
  <c r="E4689"/>
  <c r="B4689"/>
  <c r="E4688"/>
  <c r="B4688"/>
  <c r="E4687"/>
  <c r="B4687"/>
  <c r="E4686"/>
  <c r="B4686"/>
  <c r="E4685"/>
  <c r="B4685"/>
  <c r="E4684"/>
  <c r="B4684"/>
  <c r="E4683"/>
  <c r="B4683"/>
  <c r="E4682"/>
  <c r="B4682"/>
  <c r="E4681"/>
  <c r="B4681"/>
  <c r="E4680"/>
  <c r="B4680"/>
  <c r="E4679"/>
  <c r="B4679"/>
  <c r="E4678"/>
  <c r="B4678"/>
  <c r="E4677"/>
  <c r="B4677"/>
  <c r="E4676"/>
  <c r="B4676"/>
  <c r="E4675"/>
  <c r="B4675"/>
  <c r="E4674"/>
  <c r="B4674"/>
  <c r="E4673"/>
  <c r="B4673"/>
  <c r="E4672"/>
  <c r="B4672"/>
  <c r="E4671"/>
  <c r="B4671"/>
  <c r="E4670"/>
  <c r="B4670"/>
  <c r="E4669"/>
  <c r="B4669"/>
  <c r="E4668"/>
  <c r="B4668"/>
  <c r="E4667"/>
  <c r="B4667"/>
  <c r="E4666"/>
  <c r="B4666"/>
  <c r="E4665"/>
  <c r="B4665"/>
  <c r="E4664"/>
  <c r="B4664"/>
  <c r="E4663"/>
  <c r="B4663"/>
  <c r="E4662"/>
  <c r="B4662"/>
  <c r="E4661"/>
  <c r="B4661"/>
  <c r="E4660"/>
  <c r="B4660"/>
  <c r="E4659"/>
  <c r="B4659"/>
  <c r="E4658"/>
  <c r="B4658"/>
  <c r="E4657"/>
  <c r="B4657"/>
  <c r="E4656"/>
  <c r="B4656"/>
  <c r="E4655"/>
  <c r="B4655"/>
  <c r="E4654"/>
  <c r="B4654"/>
  <c r="E4653"/>
  <c r="B4653"/>
  <c r="E4652"/>
  <c r="B4652"/>
  <c r="E4651"/>
  <c r="B4651"/>
  <c r="E4650"/>
  <c r="B4650"/>
  <c r="E4649"/>
  <c r="B4649"/>
  <c r="E4648"/>
  <c r="B4648"/>
  <c r="E4647"/>
  <c r="B4647"/>
  <c r="E4646"/>
  <c r="B4646"/>
  <c r="E4645"/>
  <c r="B4645"/>
  <c r="E4644"/>
  <c r="B4644"/>
  <c r="E4643"/>
  <c r="B4643"/>
  <c r="E4642"/>
  <c r="B4642"/>
  <c r="E4641"/>
  <c r="B4641"/>
  <c r="E4640"/>
  <c r="B4640"/>
  <c r="E4639"/>
  <c r="B4639"/>
  <c r="E4638"/>
  <c r="B4638"/>
  <c r="E4637"/>
  <c r="B4637"/>
  <c r="E4636"/>
  <c r="B4636"/>
  <c r="E4635"/>
  <c r="B4635"/>
  <c r="E4634"/>
  <c r="B4634"/>
  <c r="E4633"/>
  <c r="B4633"/>
  <c r="E4632"/>
  <c r="B4632"/>
  <c r="E4631"/>
  <c r="B4631"/>
  <c r="E4630"/>
  <c r="B4630"/>
  <c r="E4629"/>
  <c r="B4629"/>
  <c r="E4628"/>
  <c r="B4628"/>
  <c r="E4627"/>
  <c r="B4627"/>
  <c r="E4626"/>
  <c r="B4626"/>
  <c r="E4625"/>
  <c r="B4625"/>
  <c r="E4624"/>
  <c r="B4624"/>
  <c r="E4623"/>
  <c r="B4623"/>
  <c r="E4622"/>
  <c r="B4622"/>
  <c r="E4621"/>
  <c r="B4621"/>
  <c r="E4620"/>
  <c r="B4620"/>
  <c r="E4619"/>
  <c r="B4619"/>
  <c r="E4618"/>
  <c r="B4618"/>
  <c r="E4617"/>
  <c r="B4617"/>
  <c r="E4616"/>
  <c r="B4616"/>
  <c r="E4615"/>
  <c r="B4615"/>
  <c r="E4614"/>
  <c r="B4614"/>
  <c r="E4613"/>
  <c r="B4613"/>
  <c r="E4612"/>
  <c r="B4612"/>
  <c r="E4611"/>
  <c r="B4611"/>
  <c r="E4610"/>
  <c r="B4610"/>
  <c r="E4609"/>
  <c r="B4609"/>
  <c r="E4608"/>
  <c r="B4608"/>
  <c r="E4607"/>
  <c r="B4607"/>
  <c r="E4606"/>
  <c r="B4606"/>
  <c r="E4605"/>
  <c r="B4605"/>
  <c r="E4604"/>
  <c r="B4604"/>
  <c r="E4603"/>
  <c r="B4603"/>
  <c r="E4602"/>
  <c r="B4602"/>
  <c r="E4601"/>
  <c r="B4601"/>
  <c r="E4600"/>
  <c r="B4600"/>
  <c r="E4599"/>
  <c r="B4599"/>
  <c r="E4598"/>
  <c r="B4598"/>
  <c r="E4597"/>
  <c r="B4597"/>
  <c r="E4596"/>
  <c r="B4596"/>
  <c r="E4595"/>
  <c r="B4595"/>
  <c r="E4594"/>
  <c r="B4594"/>
  <c r="E4593"/>
  <c r="B4593"/>
  <c r="E4592"/>
  <c r="B4592"/>
  <c r="E4591"/>
  <c r="B4591"/>
  <c r="E4590"/>
  <c r="B4590"/>
  <c r="E4589"/>
  <c r="B4589"/>
  <c r="E4588"/>
  <c r="B4588"/>
  <c r="E4587"/>
  <c r="B4587"/>
  <c r="E4586"/>
  <c r="B4586"/>
  <c r="E4585"/>
  <c r="B4585"/>
  <c r="E4584"/>
  <c r="B4584"/>
  <c r="E4583"/>
  <c r="B4583"/>
  <c r="E4582"/>
  <c r="B4582"/>
  <c r="E4581"/>
  <c r="B4581"/>
  <c r="E4580"/>
  <c r="B4580"/>
  <c r="E4579"/>
  <c r="B4579"/>
  <c r="E4578"/>
  <c r="B4578"/>
  <c r="E4577"/>
  <c r="B4577"/>
  <c r="E4576"/>
  <c r="B4576"/>
  <c r="E4575"/>
  <c r="B4575"/>
  <c r="E4574"/>
  <c r="B4574"/>
  <c r="E4573"/>
  <c r="B4573"/>
  <c r="E4572"/>
  <c r="B4572"/>
  <c r="E4571"/>
  <c r="B4571"/>
  <c r="E4570"/>
  <c r="B4570"/>
  <c r="E4569"/>
  <c r="B4569"/>
  <c r="E4568"/>
  <c r="B4568"/>
  <c r="E4567"/>
  <c r="B4567"/>
  <c r="E4566"/>
  <c r="B4566"/>
  <c r="E4565"/>
  <c r="B4565"/>
  <c r="E4564"/>
  <c r="B4564"/>
  <c r="E4563"/>
  <c r="B4563"/>
  <c r="E4562"/>
  <c r="B4562"/>
  <c r="E4561"/>
  <c r="B4561"/>
  <c r="E4560"/>
  <c r="B4560"/>
  <c r="E4559"/>
  <c r="B4559"/>
  <c r="E4558"/>
  <c r="B4558"/>
  <c r="E4557"/>
  <c r="B4557"/>
  <c r="E4556"/>
  <c r="B4556"/>
  <c r="E4555"/>
  <c r="B4555"/>
  <c r="E4554"/>
  <c r="B4554"/>
  <c r="E4553"/>
  <c r="B4553"/>
  <c r="E4552"/>
  <c r="B4552"/>
  <c r="E4551"/>
  <c r="B4551"/>
  <c r="E4550"/>
  <c r="B4550"/>
  <c r="E4549"/>
  <c r="B4549"/>
  <c r="E4548"/>
  <c r="B4548"/>
  <c r="E4547"/>
  <c r="B4547"/>
  <c r="E4546"/>
  <c r="B4546"/>
  <c r="E4545"/>
  <c r="B4545"/>
  <c r="E4544"/>
  <c r="B4544"/>
  <c r="E4543"/>
  <c r="B4543"/>
  <c r="E4542"/>
  <c r="B4542"/>
  <c r="E4541"/>
  <c r="B4541"/>
  <c r="E4540"/>
  <c r="B4540"/>
  <c r="E4539"/>
  <c r="B4539"/>
  <c r="E4538"/>
  <c r="B4538"/>
  <c r="E4537"/>
  <c r="B4537"/>
  <c r="E4536"/>
  <c r="B4536"/>
  <c r="E4535"/>
  <c r="B4535"/>
  <c r="E4534"/>
  <c r="B4534"/>
  <c r="E4533"/>
  <c r="B4533"/>
  <c r="E4532"/>
  <c r="B4532"/>
  <c r="E4531"/>
  <c r="B4531"/>
  <c r="E4530"/>
  <c r="B4530"/>
  <c r="E4529"/>
  <c r="B4529"/>
  <c r="E4528"/>
  <c r="B4528"/>
  <c r="E4527"/>
  <c r="B4527"/>
  <c r="E4526"/>
  <c r="B4526"/>
  <c r="E4525"/>
  <c r="B4525"/>
  <c r="E4524"/>
  <c r="B4524"/>
  <c r="E4523"/>
  <c r="B4523"/>
  <c r="E4522"/>
  <c r="B4522"/>
  <c r="E4521"/>
  <c r="B4521"/>
  <c r="E4520"/>
  <c r="B4520"/>
  <c r="E4519"/>
  <c r="B4519"/>
  <c r="E4518"/>
  <c r="B4518"/>
  <c r="E4517"/>
  <c r="B4517"/>
  <c r="E4516"/>
  <c r="B4516"/>
  <c r="E4515"/>
  <c r="B4515"/>
  <c r="E4514"/>
  <c r="B4514"/>
  <c r="E4513"/>
  <c r="B4513"/>
  <c r="E4512"/>
  <c r="B4512"/>
  <c r="E4511"/>
  <c r="B4511"/>
  <c r="E4510"/>
  <c r="B4510"/>
  <c r="E4509"/>
  <c r="B4509"/>
  <c r="E4508"/>
  <c r="B4508"/>
  <c r="E4507"/>
  <c r="B4507"/>
  <c r="E4506"/>
  <c r="B4506"/>
  <c r="E4505"/>
  <c r="B4505"/>
  <c r="E4504"/>
  <c r="B4504"/>
  <c r="E4503"/>
  <c r="B4503"/>
  <c r="E4502"/>
  <c r="B4502"/>
  <c r="E4501"/>
  <c r="B4501"/>
  <c r="E4500"/>
  <c r="B4500"/>
  <c r="E4499"/>
  <c r="B4499"/>
  <c r="E4498"/>
  <c r="B4498"/>
  <c r="E4497"/>
  <c r="B4497"/>
  <c r="E4496"/>
  <c r="B4496"/>
  <c r="E4495"/>
  <c r="B4495"/>
  <c r="E4494"/>
  <c r="B4494"/>
  <c r="E4493"/>
  <c r="B4493"/>
  <c r="E4492"/>
  <c r="B4492"/>
  <c r="E4491"/>
  <c r="B4491"/>
  <c r="E4490"/>
  <c r="B4490"/>
  <c r="E4489"/>
  <c r="B4489"/>
  <c r="E4488"/>
  <c r="B4488"/>
  <c r="E4487"/>
  <c r="B4487"/>
  <c r="E4486"/>
  <c r="B4486"/>
  <c r="E4485"/>
  <c r="B4485"/>
  <c r="E4484"/>
  <c r="B4484"/>
  <c r="E4483"/>
  <c r="B4483"/>
  <c r="E4482"/>
  <c r="B4482"/>
  <c r="E4481"/>
  <c r="B4481"/>
  <c r="E4480"/>
  <c r="B4480"/>
  <c r="E4479"/>
  <c r="B4479"/>
  <c r="E4478"/>
  <c r="B4478"/>
  <c r="E4477"/>
  <c r="B4477"/>
  <c r="E4476"/>
  <c r="B4476"/>
  <c r="E4475"/>
  <c r="B4475"/>
  <c r="E4474"/>
  <c r="B4474"/>
  <c r="E4473"/>
  <c r="B4473"/>
  <c r="E4472"/>
  <c r="B4472"/>
  <c r="E4471"/>
  <c r="B4471"/>
  <c r="E4470"/>
  <c r="B4470"/>
  <c r="E4469"/>
  <c r="B4469"/>
  <c r="E4468"/>
  <c r="B4468"/>
  <c r="E4467"/>
  <c r="B4467"/>
  <c r="E4466"/>
  <c r="B4466"/>
  <c r="E4465"/>
  <c r="B4465"/>
  <c r="E4464"/>
  <c r="B4464"/>
  <c r="E4463"/>
  <c r="B4463"/>
  <c r="E4462"/>
  <c r="B4462"/>
  <c r="E4461"/>
  <c r="B4461"/>
  <c r="E4460"/>
  <c r="B4460"/>
  <c r="E4459"/>
  <c r="B4459"/>
  <c r="E4458"/>
  <c r="B4458"/>
  <c r="E4457"/>
  <c r="B4457"/>
  <c r="E4456"/>
  <c r="B4456"/>
  <c r="E4455"/>
  <c r="B4455"/>
  <c r="E4454"/>
  <c r="B4454"/>
  <c r="E4453"/>
  <c r="B4453"/>
  <c r="E4452"/>
  <c r="B4452"/>
  <c r="E4451"/>
  <c r="B4451"/>
  <c r="E4450"/>
  <c r="B4450"/>
  <c r="E4449"/>
  <c r="B4449"/>
  <c r="E4448"/>
  <c r="B4448"/>
  <c r="E4447"/>
  <c r="B4447"/>
  <c r="E4446"/>
  <c r="B4446"/>
  <c r="E4445"/>
  <c r="B4445"/>
  <c r="E4444"/>
  <c r="B4444"/>
  <c r="E4443"/>
  <c r="B4443"/>
  <c r="E4442"/>
  <c r="B4442"/>
  <c r="E4441"/>
  <c r="B4441"/>
  <c r="E4440"/>
  <c r="B4440"/>
  <c r="E4439"/>
  <c r="B4439"/>
  <c r="E4438"/>
  <c r="B4438"/>
  <c r="E4437"/>
  <c r="B4437"/>
  <c r="E4436"/>
  <c r="B4436"/>
  <c r="E4435"/>
  <c r="B4435"/>
  <c r="E4434"/>
  <c r="B4434"/>
  <c r="E4433"/>
  <c r="B4433"/>
  <c r="E4432"/>
  <c r="B4432"/>
  <c r="E4431"/>
  <c r="B4431"/>
  <c r="E4430"/>
  <c r="B4430"/>
  <c r="E4429"/>
  <c r="B4429"/>
  <c r="E4428"/>
  <c r="B4428"/>
  <c r="E4427"/>
  <c r="B4427"/>
  <c r="E4426"/>
  <c r="B4426"/>
  <c r="E4425"/>
  <c r="B4425"/>
  <c r="E4424"/>
  <c r="B4424"/>
  <c r="E4423"/>
  <c r="B4423"/>
  <c r="E4422"/>
  <c r="B4422"/>
  <c r="E4421"/>
  <c r="B4421"/>
  <c r="E4420"/>
  <c r="B4420"/>
  <c r="E4419"/>
  <c r="B4419"/>
  <c r="E4418"/>
  <c r="B4418"/>
  <c r="E4417"/>
  <c r="B4417"/>
  <c r="E4416"/>
  <c r="B4416"/>
  <c r="E4415"/>
  <c r="B4415"/>
  <c r="E4414"/>
  <c r="B4414"/>
  <c r="E4413"/>
  <c r="B4413"/>
  <c r="E4412"/>
  <c r="B4412"/>
  <c r="E4411"/>
  <c r="B4411"/>
  <c r="E4410"/>
  <c r="B4410"/>
  <c r="E4409"/>
  <c r="B4409"/>
  <c r="E4408"/>
  <c r="B4408"/>
  <c r="E4407"/>
  <c r="B4407"/>
  <c r="E4406"/>
  <c r="B4406"/>
  <c r="E4405"/>
  <c r="B4405"/>
  <c r="E4404"/>
  <c r="B4404"/>
  <c r="E4403"/>
  <c r="B4403"/>
  <c r="E4402"/>
  <c r="B4402"/>
  <c r="E4401"/>
  <c r="B4401"/>
  <c r="E4400"/>
  <c r="B4400"/>
  <c r="E4399"/>
  <c r="B4399"/>
  <c r="E4398"/>
  <c r="B4398"/>
  <c r="E4397"/>
  <c r="B4397"/>
  <c r="E4396"/>
  <c r="B4396"/>
  <c r="E4395"/>
  <c r="B4395"/>
  <c r="E4394"/>
  <c r="B4394"/>
  <c r="E4393"/>
  <c r="B4393"/>
  <c r="E4392"/>
  <c r="B4392"/>
  <c r="E4391"/>
  <c r="B4391"/>
  <c r="E4390"/>
  <c r="B4390"/>
  <c r="E4389"/>
  <c r="B4389"/>
  <c r="E4388"/>
  <c r="B4388"/>
  <c r="E4387"/>
  <c r="B4387"/>
  <c r="E4386"/>
  <c r="B4386"/>
  <c r="E4385"/>
  <c r="B4385"/>
  <c r="E4384"/>
  <c r="B4384"/>
  <c r="E4383"/>
  <c r="B4383"/>
  <c r="E4382"/>
  <c r="B4382"/>
  <c r="E4381"/>
  <c r="B4381"/>
  <c r="E4380"/>
  <c r="B4380"/>
  <c r="E4379"/>
  <c r="B4379"/>
  <c r="E4378"/>
  <c r="B4378"/>
  <c r="E4377"/>
  <c r="B4377"/>
  <c r="E4376"/>
  <c r="B4376"/>
  <c r="E4375"/>
  <c r="B4375"/>
  <c r="E4374"/>
  <c r="B4374"/>
  <c r="E4373"/>
  <c r="B4373"/>
  <c r="E4372"/>
  <c r="B4372"/>
  <c r="E4371"/>
  <c r="B4371"/>
  <c r="E4370"/>
  <c r="B4370"/>
  <c r="E4369"/>
  <c r="B4369"/>
  <c r="E4368"/>
  <c r="B4368"/>
  <c r="E4367"/>
  <c r="B4367"/>
  <c r="E4366"/>
  <c r="B4366"/>
  <c r="E4365"/>
  <c r="B4365"/>
  <c r="E4364"/>
  <c r="B4364"/>
  <c r="E4363"/>
  <c r="B4363"/>
  <c r="E4362"/>
  <c r="B4362"/>
  <c r="E4361"/>
  <c r="B4361"/>
  <c r="E4360"/>
  <c r="B4360"/>
  <c r="E4359"/>
  <c r="B4359"/>
  <c r="E4358"/>
  <c r="B4358"/>
  <c r="E4357"/>
  <c r="B4357"/>
  <c r="E4356"/>
  <c r="B4356"/>
  <c r="E4355"/>
  <c r="B4355"/>
  <c r="E4354"/>
  <c r="B4354"/>
  <c r="E4353"/>
  <c r="B4353"/>
  <c r="E4352"/>
  <c r="B4352"/>
  <c r="E4351"/>
  <c r="B4351"/>
  <c r="E4350"/>
  <c r="B4350"/>
  <c r="E4349"/>
  <c r="B4349"/>
  <c r="E4348"/>
  <c r="B4348"/>
  <c r="E4347"/>
  <c r="B4347"/>
  <c r="E4346"/>
  <c r="B4346"/>
  <c r="E4345"/>
  <c r="B4345"/>
  <c r="E4344"/>
  <c r="B4344"/>
  <c r="E4343"/>
  <c r="B4343"/>
  <c r="E4342"/>
  <c r="B4342"/>
  <c r="E4341"/>
  <c r="B4341"/>
  <c r="E4340"/>
  <c r="B4340"/>
  <c r="E4339"/>
  <c r="B4339"/>
  <c r="E4338"/>
  <c r="B4338"/>
  <c r="E4337"/>
  <c r="B4337"/>
  <c r="E4336"/>
  <c r="B4336"/>
  <c r="E4335"/>
  <c r="B4335"/>
  <c r="E4334"/>
  <c r="B4334"/>
  <c r="E4333"/>
  <c r="B4333"/>
  <c r="E4332"/>
  <c r="B4332"/>
  <c r="E4331"/>
  <c r="B4331"/>
  <c r="E4330"/>
  <c r="B4330"/>
  <c r="E4329"/>
  <c r="B4329"/>
  <c r="E4328"/>
  <c r="B4328"/>
  <c r="E4327"/>
  <c r="B4327"/>
  <c r="E4326"/>
  <c r="B4326"/>
  <c r="E4325"/>
  <c r="B4325"/>
  <c r="E4324"/>
  <c r="B4324"/>
  <c r="E4323"/>
  <c r="B4323"/>
  <c r="E4322"/>
  <c r="B4322"/>
  <c r="E4321"/>
  <c r="B4321"/>
  <c r="E4320"/>
  <c r="B4320"/>
  <c r="E4319"/>
  <c r="B4319"/>
  <c r="E4318"/>
  <c r="B4318"/>
  <c r="E4317"/>
  <c r="B4317"/>
  <c r="E4316"/>
  <c r="B4316"/>
  <c r="E4315"/>
  <c r="B4315"/>
  <c r="E4314"/>
  <c r="B4314"/>
  <c r="E4313"/>
  <c r="B4313"/>
  <c r="E4312"/>
  <c r="B4312"/>
  <c r="E4311"/>
  <c r="B4311"/>
  <c r="E4310"/>
  <c r="B4310"/>
  <c r="E4309"/>
  <c r="B4309"/>
  <c r="E4308"/>
  <c r="B4308"/>
  <c r="E4307"/>
  <c r="B4307"/>
  <c r="E4306"/>
  <c r="B4306"/>
  <c r="E4305"/>
  <c r="B4305"/>
  <c r="E4304"/>
  <c r="B4304"/>
  <c r="E4303"/>
  <c r="B4303"/>
  <c r="E4302"/>
  <c r="B4302"/>
  <c r="E4301"/>
  <c r="B4301"/>
  <c r="E4300"/>
  <c r="B4300"/>
  <c r="E4299"/>
  <c r="B4299"/>
  <c r="E4298"/>
  <c r="B4298"/>
  <c r="E4297"/>
  <c r="B4297"/>
  <c r="E4296"/>
  <c r="B4296"/>
  <c r="E4295"/>
  <c r="B4295"/>
  <c r="E4294"/>
  <c r="B4294"/>
  <c r="E4293"/>
  <c r="B4293"/>
  <c r="E4292"/>
  <c r="B4292"/>
  <c r="E4291"/>
  <c r="B4291"/>
  <c r="E4290"/>
  <c r="B4290"/>
  <c r="E4289"/>
  <c r="B4289"/>
  <c r="E4288"/>
  <c r="B4288"/>
  <c r="E4287"/>
  <c r="B4287"/>
  <c r="E4286"/>
  <c r="B4286"/>
  <c r="E4285"/>
  <c r="B4285"/>
  <c r="E4284"/>
  <c r="B4284"/>
  <c r="E4283"/>
  <c r="B4283"/>
  <c r="E4282"/>
  <c r="B4282"/>
  <c r="E4281"/>
  <c r="B4281"/>
  <c r="E4280"/>
  <c r="B4280"/>
  <c r="E4279"/>
  <c r="B4279"/>
  <c r="E4278"/>
  <c r="B4278"/>
  <c r="E4277"/>
  <c r="B4277"/>
  <c r="E4276"/>
  <c r="B4276"/>
  <c r="E4275"/>
  <c r="B4275"/>
  <c r="E4274"/>
  <c r="B4274"/>
  <c r="E4273"/>
  <c r="B4273"/>
  <c r="E4272"/>
  <c r="B4272"/>
  <c r="E4271"/>
  <c r="B4271"/>
  <c r="E4270"/>
  <c r="B4270"/>
  <c r="E4269"/>
  <c r="B4269"/>
  <c r="E4268"/>
  <c r="B4268"/>
  <c r="E4267"/>
  <c r="B4267"/>
  <c r="E4266"/>
  <c r="B4266"/>
  <c r="E4265"/>
  <c r="B4265"/>
  <c r="E4264"/>
  <c r="B4264"/>
  <c r="E4263"/>
  <c r="B4263"/>
  <c r="E4262"/>
  <c r="B4262"/>
  <c r="E4261"/>
  <c r="B4261"/>
  <c r="E4260"/>
  <c r="B4260"/>
  <c r="E4259"/>
  <c r="B4259"/>
  <c r="E4258"/>
  <c r="B4258"/>
  <c r="E4257"/>
  <c r="B4257"/>
  <c r="E4256"/>
  <c r="B4256"/>
  <c r="E4255"/>
  <c r="B4255"/>
  <c r="E4254"/>
  <c r="B4254"/>
  <c r="E4253"/>
  <c r="B4253"/>
  <c r="E4252"/>
  <c r="B4252"/>
  <c r="E4251"/>
  <c r="B4251"/>
  <c r="E4250"/>
  <c r="B4250"/>
  <c r="E4249"/>
  <c r="B4249"/>
  <c r="E4248"/>
  <c r="B4248"/>
  <c r="E4247"/>
  <c r="B4247"/>
  <c r="E4246"/>
  <c r="B4246"/>
  <c r="E4245"/>
  <c r="B4245"/>
  <c r="E4244"/>
  <c r="B4244"/>
  <c r="E4243"/>
  <c r="B4243"/>
  <c r="E4242"/>
  <c r="B4242"/>
  <c r="E4241"/>
  <c r="B4241"/>
  <c r="E4240"/>
  <c r="B4240"/>
  <c r="E4239"/>
  <c r="B4239"/>
  <c r="E4238"/>
  <c r="B4238"/>
  <c r="E4237"/>
  <c r="B4237"/>
  <c r="E4236"/>
  <c r="B4236"/>
  <c r="E4235"/>
  <c r="B4235"/>
  <c r="E4234"/>
  <c r="B4234"/>
  <c r="E4233"/>
  <c r="B4233"/>
  <c r="E4232"/>
  <c r="B4232"/>
  <c r="E4231"/>
  <c r="B4231"/>
  <c r="E4230"/>
  <c r="B4230"/>
  <c r="E4229"/>
  <c r="B4229"/>
  <c r="E4228"/>
  <c r="B4228"/>
  <c r="E4227"/>
  <c r="B4227"/>
  <c r="E4226"/>
  <c r="B4226"/>
  <c r="E4225"/>
  <c r="B4225"/>
  <c r="E4224"/>
  <c r="B4224"/>
  <c r="E4223"/>
  <c r="B4223"/>
  <c r="E4222"/>
  <c r="B4222"/>
  <c r="E4221"/>
  <c r="B4221"/>
  <c r="E4220"/>
  <c r="B4220"/>
  <c r="E4219"/>
  <c r="B4219"/>
  <c r="E4218"/>
  <c r="B4218"/>
  <c r="E4217"/>
  <c r="B4217"/>
  <c r="E4216"/>
  <c r="B4216"/>
  <c r="E4215"/>
  <c r="B4215"/>
  <c r="E4214"/>
  <c r="B4214"/>
  <c r="E4213"/>
  <c r="B4213"/>
  <c r="E4212"/>
  <c r="B4212"/>
  <c r="E4211"/>
  <c r="B4211"/>
  <c r="E4210"/>
  <c r="B4210"/>
  <c r="E4209"/>
  <c r="B4209"/>
  <c r="E4208"/>
  <c r="B4208"/>
  <c r="E4207"/>
  <c r="B4207"/>
  <c r="E4206"/>
  <c r="B4206"/>
  <c r="E4205"/>
  <c r="B4205"/>
  <c r="E4204"/>
  <c r="B4204"/>
  <c r="E4203"/>
  <c r="B4203"/>
  <c r="E4202"/>
  <c r="B4202"/>
  <c r="E4201"/>
  <c r="B4201"/>
  <c r="E4200"/>
  <c r="B4200"/>
  <c r="E4199"/>
  <c r="B4199"/>
  <c r="E4198"/>
  <c r="B4198"/>
  <c r="E4197"/>
  <c r="B4197"/>
  <c r="E4196"/>
  <c r="B4196"/>
  <c r="E4195"/>
  <c r="B4195"/>
  <c r="E4194"/>
  <c r="B4194"/>
  <c r="E4193"/>
  <c r="B4193"/>
  <c r="E4192"/>
  <c r="B4192"/>
  <c r="E4191"/>
  <c r="B4191"/>
  <c r="E4190"/>
  <c r="B4190"/>
  <c r="E4189"/>
  <c r="B4189"/>
  <c r="E4188"/>
  <c r="B4188"/>
  <c r="E4187"/>
  <c r="B4187"/>
  <c r="E4186"/>
  <c r="B4186"/>
  <c r="E4185"/>
  <c r="B4185"/>
  <c r="E4184"/>
  <c r="B4184"/>
  <c r="E4183"/>
  <c r="B4183"/>
  <c r="E4182"/>
  <c r="B4182"/>
  <c r="E4181"/>
  <c r="B4181"/>
  <c r="E4180"/>
  <c r="B4180"/>
  <c r="E4179"/>
  <c r="B4179"/>
  <c r="E4178"/>
  <c r="B4178"/>
  <c r="E4177"/>
  <c r="B4177"/>
  <c r="E4176"/>
  <c r="B4176"/>
  <c r="E4175"/>
  <c r="B4175"/>
  <c r="E4174"/>
  <c r="B4174"/>
  <c r="E4173"/>
  <c r="B4173"/>
  <c r="E4172"/>
  <c r="B4172"/>
  <c r="E4171"/>
  <c r="B4171"/>
  <c r="E4170"/>
  <c r="B4170"/>
  <c r="E4169"/>
  <c r="B4169"/>
  <c r="E4168"/>
  <c r="B4168"/>
  <c r="E4167"/>
  <c r="B4167"/>
  <c r="E4166"/>
  <c r="B4166"/>
  <c r="E4165"/>
  <c r="B4165"/>
  <c r="E4164"/>
  <c r="B4164"/>
  <c r="E4163"/>
  <c r="B4163"/>
  <c r="E4162"/>
  <c r="B4162"/>
  <c r="E4161"/>
  <c r="B4161"/>
  <c r="E4160"/>
  <c r="B4160"/>
  <c r="E4159"/>
  <c r="B4159"/>
  <c r="E4158"/>
  <c r="B4158"/>
  <c r="E4157"/>
  <c r="B4157"/>
  <c r="E4156"/>
  <c r="B4156"/>
  <c r="E4155"/>
  <c r="B4155"/>
  <c r="E4154"/>
  <c r="B4154"/>
  <c r="E4153"/>
  <c r="B4153"/>
  <c r="E4152"/>
  <c r="B4152"/>
  <c r="E4151"/>
  <c r="B4151"/>
  <c r="E4150"/>
  <c r="B4150"/>
  <c r="E4149"/>
  <c r="B4149"/>
  <c r="E4148"/>
  <c r="B4148"/>
  <c r="E4147"/>
  <c r="B4147"/>
  <c r="E4146"/>
  <c r="B4146"/>
  <c r="E4145"/>
  <c r="B4145"/>
  <c r="E4144"/>
  <c r="B4144"/>
  <c r="E4143"/>
  <c r="B4143"/>
  <c r="E4142"/>
  <c r="B4142"/>
  <c r="E4141"/>
  <c r="B4141"/>
  <c r="E4140"/>
  <c r="B4140"/>
  <c r="E4139"/>
  <c r="B4139"/>
  <c r="E4138"/>
  <c r="B4138"/>
  <c r="E4137"/>
  <c r="B4137"/>
  <c r="E4136"/>
  <c r="B4136"/>
  <c r="E4135"/>
  <c r="B4135"/>
  <c r="E4134"/>
  <c r="B4134"/>
  <c r="E4133"/>
  <c r="B4133"/>
  <c r="E4132"/>
  <c r="B4132"/>
  <c r="E4131"/>
  <c r="B4131"/>
  <c r="E4130"/>
  <c r="B4130"/>
  <c r="E4129"/>
  <c r="B4129"/>
  <c r="E4128"/>
  <c r="B4128"/>
  <c r="E4127"/>
  <c r="B4127"/>
  <c r="E4126"/>
  <c r="B4126"/>
  <c r="E4125"/>
  <c r="B4125"/>
  <c r="E4124"/>
  <c r="B4124"/>
  <c r="E4123"/>
  <c r="B4123"/>
  <c r="E4122"/>
  <c r="B4122"/>
  <c r="E4121"/>
  <c r="B4121"/>
  <c r="E4120"/>
  <c r="B4120"/>
  <c r="E4119"/>
  <c r="B4119"/>
  <c r="E4118"/>
  <c r="B4118"/>
  <c r="E4117"/>
  <c r="B4117"/>
  <c r="E4116"/>
  <c r="B4116"/>
  <c r="E4115"/>
  <c r="B4115"/>
  <c r="E4114"/>
  <c r="B4114"/>
  <c r="E4113"/>
  <c r="B4113"/>
  <c r="E4112"/>
  <c r="B4112"/>
  <c r="E4111"/>
  <c r="B4111"/>
  <c r="E4110"/>
  <c r="B4110"/>
  <c r="E4109"/>
  <c r="B4109"/>
  <c r="E4108"/>
  <c r="B4108"/>
  <c r="E4107"/>
  <c r="B4107"/>
  <c r="E4106"/>
  <c r="B4106"/>
  <c r="E4105"/>
  <c r="B4105"/>
  <c r="E4104"/>
  <c r="B4104"/>
  <c r="E4103"/>
  <c r="B4103"/>
  <c r="E4102"/>
  <c r="B4102"/>
  <c r="E4101"/>
  <c r="B4101"/>
  <c r="E4100"/>
  <c r="B4100"/>
  <c r="E4099"/>
  <c r="B4099"/>
  <c r="E4098"/>
  <c r="B4098"/>
  <c r="E4097"/>
  <c r="B4097"/>
  <c r="E4096"/>
  <c r="B4096"/>
  <c r="E4095"/>
  <c r="B4095"/>
  <c r="E4094"/>
  <c r="B4094"/>
  <c r="E4093"/>
  <c r="B4093"/>
  <c r="E4092"/>
  <c r="B4092"/>
  <c r="E4091"/>
  <c r="B4091"/>
  <c r="E4090"/>
  <c r="B4090"/>
  <c r="E4089"/>
  <c r="B4089"/>
  <c r="E4088"/>
  <c r="B4088"/>
  <c r="E4087"/>
  <c r="B4087"/>
  <c r="E4086"/>
  <c r="B4086"/>
  <c r="E4085"/>
  <c r="B4085"/>
  <c r="E4084"/>
  <c r="B4084"/>
  <c r="E4083"/>
  <c r="B4083"/>
  <c r="E4082"/>
  <c r="B4082"/>
  <c r="E4081"/>
  <c r="B4081"/>
  <c r="E4080"/>
  <c r="B4080"/>
  <c r="E4079"/>
  <c r="B4079"/>
  <c r="E4078"/>
  <c r="B4078"/>
  <c r="E4077"/>
  <c r="B4077"/>
  <c r="E4076"/>
  <c r="B4076"/>
  <c r="E4075"/>
  <c r="B4075"/>
  <c r="E4074"/>
  <c r="B4074"/>
  <c r="E4073"/>
  <c r="B4073"/>
  <c r="E4072"/>
  <c r="B4072"/>
  <c r="E4071"/>
  <c r="B4071"/>
  <c r="E4070"/>
  <c r="B4070"/>
  <c r="E4069"/>
  <c r="B4069"/>
  <c r="E4068"/>
  <c r="B4068"/>
  <c r="E4067"/>
  <c r="B4067"/>
  <c r="E4066"/>
  <c r="B4066"/>
  <c r="E4065"/>
  <c r="B4065"/>
  <c r="E4064"/>
  <c r="B4064"/>
  <c r="E4063"/>
  <c r="B4063"/>
  <c r="E4062"/>
  <c r="B4062"/>
  <c r="E4061"/>
  <c r="B4061"/>
  <c r="E4060"/>
  <c r="B4060"/>
  <c r="E4059"/>
  <c r="B4059"/>
  <c r="E4058"/>
  <c r="B4058"/>
  <c r="E4057"/>
  <c r="B4057"/>
  <c r="E4056"/>
  <c r="B4056"/>
  <c r="E4055"/>
  <c r="B4055"/>
  <c r="E4054"/>
  <c r="B4054"/>
  <c r="E4053"/>
  <c r="B4053"/>
  <c r="E4052"/>
  <c r="B4052"/>
  <c r="E4051"/>
  <c r="B4051"/>
  <c r="E4050"/>
  <c r="B4050"/>
  <c r="E4049"/>
  <c r="B4049"/>
  <c r="E4048"/>
  <c r="B4048"/>
  <c r="E4047"/>
  <c r="B4047"/>
  <c r="E4046"/>
  <c r="B4046"/>
  <c r="E4045"/>
  <c r="B4045"/>
  <c r="E4044"/>
  <c r="B4044"/>
  <c r="E4043"/>
  <c r="B4043"/>
  <c r="E4042"/>
  <c r="B4042"/>
  <c r="E4041"/>
  <c r="B4041"/>
  <c r="E4040"/>
  <c r="B4040"/>
  <c r="E4039"/>
  <c r="B4039"/>
  <c r="E4038"/>
  <c r="B4038"/>
  <c r="E4037"/>
  <c r="B4037"/>
  <c r="E4036"/>
  <c r="B4036"/>
  <c r="E4035"/>
  <c r="B4035"/>
  <c r="E4034"/>
  <c r="B4034"/>
  <c r="E4033"/>
  <c r="B4033"/>
  <c r="E4032"/>
  <c r="B4032"/>
  <c r="E4031"/>
  <c r="B4031"/>
  <c r="E4030"/>
  <c r="B4030"/>
  <c r="E4029"/>
  <c r="B4029"/>
  <c r="E4028"/>
  <c r="B4028"/>
  <c r="E4027"/>
  <c r="B4027"/>
  <c r="E4026"/>
  <c r="B4026"/>
  <c r="E4025"/>
  <c r="B4025"/>
  <c r="E4024"/>
  <c r="B4024"/>
  <c r="E4023"/>
  <c r="B4023"/>
  <c r="E4022"/>
  <c r="B4022"/>
  <c r="E4021"/>
  <c r="B4021"/>
  <c r="E4020"/>
  <c r="B4020"/>
  <c r="E4019"/>
  <c r="B4019"/>
  <c r="E4018"/>
  <c r="B4018"/>
  <c r="E4017"/>
  <c r="B4017"/>
  <c r="E4016"/>
  <c r="B4016"/>
  <c r="E4015"/>
  <c r="B4015"/>
  <c r="E4014"/>
  <c r="B4014"/>
  <c r="E4013"/>
  <c r="B4013"/>
  <c r="E4012"/>
  <c r="B4012"/>
  <c r="E4011"/>
  <c r="B4011"/>
  <c r="E4010"/>
  <c r="B4010"/>
  <c r="E4009"/>
  <c r="B4009"/>
  <c r="E4008"/>
  <c r="B4008"/>
  <c r="E4007"/>
  <c r="B4007"/>
  <c r="E4006"/>
  <c r="B4006"/>
  <c r="E4005"/>
  <c r="B4005"/>
  <c r="E4004"/>
  <c r="B4004"/>
  <c r="E4003"/>
  <c r="B4003"/>
  <c r="E4002"/>
  <c r="B4002"/>
  <c r="E4001"/>
  <c r="B4001"/>
  <c r="E4000"/>
  <c r="B4000"/>
  <c r="E3999"/>
  <c r="B3999"/>
  <c r="E3998"/>
  <c r="B3998"/>
  <c r="E3997"/>
  <c r="B3997"/>
  <c r="E3996"/>
  <c r="B3996"/>
  <c r="E3995"/>
  <c r="B3995"/>
  <c r="E3994"/>
  <c r="B3994"/>
  <c r="E3993"/>
  <c r="B3993"/>
  <c r="E3992"/>
  <c r="B3992"/>
  <c r="E3991"/>
  <c r="B3991"/>
  <c r="E3990"/>
  <c r="B3990"/>
  <c r="E3989"/>
  <c r="B3989"/>
  <c r="E3988"/>
  <c r="B3988"/>
  <c r="E3987"/>
  <c r="B3987"/>
  <c r="E3986"/>
  <c r="B3986"/>
  <c r="E3985"/>
  <c r="B3985"/>
  <c r="E3984"/>
  <c r="B3984"/>
  <c r="E3983"/>
  <c r="B3983"/>
  <c r="E3982"/>
  <c r="B3982"/>
  <c r="E3981"/>
  <c r="B3981"/>
  <c r="E3980"/>
  <c r="B3980"/>
  <c r="E3979"/>
  <c r="B3979"/>
  <c r="E3978"/>
  <c r="B3978"/>
  <c r="E3977"/>
  <c r="B3977"/>
  <c r="E3976"/>
  <c r="B3976"/>
  <c r="E3975"/>
  <c r="B3975"/>
  <c r="E3974"/>
  <c r="B3974"/>
  <c r="E3973"/>
  <c r="B3973"/>
  <c r="E3972"/>
  <c r="B3972"/>
  <c r="E3971"/>
  <c r="B3971"/>
  <c r="E3970"/>
  <c r="B3970"/>
  <c r="E3969"/>
  <c r="B3969"/>
  <c r="E3968"/>
  <c r="B3968"/>
  <c r="E3967"/>
  <c r="B3967"/>
  <c r="E3966"/>
  <c r="B3966"/>
  <c r="E3965"/>
  <c r="B3965"/>
  <c r="E3964"/>
  <c r="B3964"/>
  <c r="E3963"/>
  <c r="B3963"/>
  <c r="E3962"/>
  <c r="B3962"/>
  <c r="E3961"/>
  <c r="B3961"/>
  <c r="E3960"/>
  <c r="B3960"/>
  <c r="E3959"/>
  <c r="B3959"/>
  <c r="E3958"/>
  <c r="B3958"/>
  <c r="E3957"/>
  <c r="B3957"/>
  <c r="E3956"/>
  <c r="B3956"/>
  <c r="E3955"/>
  <c r="B3955"/>
  <c r="E3954"/>
  <c r="B3954"/>
  <c r="E3953"/>
  <c r="B3953"/>
  <c r="E3952"/>
  <c r="B3952"/>
  <c r="E3951"/>
  <c r="B3951"/>
  <c r="E3950"/>
  <c r="B3950"/>
  <c r="E3949"/>
  <c r="B3949"/>
  <c r="E3948"/>
  <c r="B3948"/>
  <c r="E3947"/>
  <c r="B3947"/>
  <c r="E3946"/>
  <c r="B3946"/>
  <c r="E3945"/>
  <c r="B3945"/>
  <c r="E3944"/>
  <c r="B3944"/>
  <c r="E3943"/>
  <c r="B3943"/>
  <c r="E3942"/>
  <c r="B3942"/>
  <c r="E3941"/>
  <c r="B3941"/>
  <c r="E3940"/>
  <c r="B3940"/>
  <c r="E3939"/>
  <c r="B3939"/>
  <c r="E3938"/>
  <c r="B3938"/>
  <c r="E3937"/>
  <c r="B3937"/>
  <c r="E3936"/>
  <c r="B3936"/>
  <c r="E3935"/>
  <c r="B3935"/>
  <c r="E3934"/>
  <c r="B3934"/>
  <c r="E3933"/>
  <c r="B3933"/>
  <c r="E3932"/>
  <c r="B3932"/>
  <c r="E3931"/>
  <c r="B3931"/>
  <c r="E3930"/>
  <c r="B3930"/>
  <c r="E3929"/>
  <c r="B3929"/>
  <c r="E3928"/>
  <c r="B3928"/>
  <c r="E3927"/>
  <c r="B3927"/>
  <c r="E3926"/>
  <c r="B3926"/>
  <c r="E3925"/>
  <c r="B3925"/>
  <c r="E3924"/>
  <c r="B3924"/>
  <c r="E3923"/>
  <c r="B3923"/>
  <c r="E3922"/>
  <c r="B3922"/>
  <c r="E3921"/>
  <c r="B3921"/>
  <c r="E3920"/>
  <c r="B3920"/>
  <c r="E3919"/>
  <c r="B3919"/>
  <c r="E3918"/>
  <c r="B3918"/>
  <c r="E3917"/>
  <c r="B3917"/>
  <c r="E3916"/>
  <c r="B3916"/>
  <c r="E3915"/>
  <c r="B3915"/>
  <c r="E3914"/>
  <c r="B3914"/>
  <c r="E3913"/>
  <c r="B3913"/>
  <c r="E3912"/>
  <c r="B3912"/>
  <c r="E3911"/>
  <c r="B3911"/>
  <c r="E3910"/>
  <c r="B3910"/>
  <c r="E3909"/>
  <c r="B3909"/>
  <c r="E3908"/>
  <c r="B3908"/>
  <c r="E3907"/>
  <c r="B3907"/>
  <c r="E3906"/>
  <c r="B3906"/>
  <c r="E3905"/>
  <c r="B3905"/>
  <c r="E3904"/>
  <c r="B3904"/>
  <c r="E3903"/>
  <c r="B3903"/>
  <c r="E3902"/>
  <c r="B3902"/>
  <c r="E3901"/>
  <c r="B3901"/>
  <c r="E3900"/>
  <c r="B3900"/>
  <c r="E3899"/>
  <c r="B3899"/>
  <c r="E3898"/>
  <c r="B3898"/>
  <c r="E3897"/>
  <c r="B3897"/>
  <c r="E3896"/>
  <c r="B3896"/>
  <c r="E3895"/>
  <c r="B3895"/>
  <c r="E3894"/>
  <c r="B3894"/>
  <c r="E3893"/>
  <c r="B3893"/>
  <c r="E3892"/>
  <c r="B3892"/>
  <c r="E3891"/>
  <c r="B3891"/>
  <c r="E3890"/>
  <c r="B3890"/>
  <c r="E3889"/>
  <c r="B3889"/>
  <c r="E3888"/>
  <c r="B3888"/>
  <c r="E3887"/>
  <c r="B3887"/>
  <c r="E3886"/>
  <c r="B3886"/>
  <c r="E3885"/>
  <c r="B3885"/>
  <c r="E3884"/>
  <c r="B3884"/>
  <c r="E3883"/>
  <c r="B3883"/>
  <c r="E3882"/>
  <c r="B3882"/>
  <c r="E3881"/>
  <c r="B3881"/>
  <c r="E3880"/>
  <c r="B3880"/>
  <c r="E3879"/>
  <c r="B3879"/>
  <c r="E3878"/>
  <c r="B3878"/>
  <c r="E3877"/>
  <c r="B3877"/>
  <c r="E3876"/>
  <c r="B3876"/>
  <c r="E3875"/>
  <c r="B3875"/>
  <c r="E3874"/>
  <c r="B3874"/>
  <c r="E3873"/>
  <c r="B3873"/>
  <c r="E3872"/>
  <c r="B3872"/>
  <c r="E3871"/>
  <c r="B3871"/>
  <c r="E3870"/>
  <c r="B3870"/>
  <c r="E3869"/>
  <c r="B3869"/>
  <c r="E3868"/>
  <c r="B3868"/>
  <c r="E3867"/>
  <c r="B3867"/>
  <c r="E3866"/>
  <c r="B3866"/>
  <c r="E3865"/>
  <c r="B3865"/>
  <c r="E3864"/>
  <c r="B3864"/>
  <c r="E3863"/>
  <c r="B3863"/>
  <c r="E3862"/>
  <c r="B3862"/>
  <c r="E3861"/>
  <c r="B3861"/>
  <c r="E3860"/>
  <c r="B3860"/>
  <c r="E3859"/>
  <c r="B3859"/>
  <c r="E3858"/>
  <c r="B3858"/>
  <c r="E3857"/>
  <c r="B3857"/>
  <c r="E3856"/>
  <c r="B3856"/>
  <c r="E3855"/>
  <c r="B3855"/>
  <c r="E3854"/>
  <c r="B3854"/>
  <c r="E3853"/>
  <c r="B3853"/>
  <c r="E3852"/>
  <c r="B3852"/>
  <c r="E3851"/>
  <c r="B3851"/>
  <c r="E3850"/>
  <c r="B3850"/>
  <c r="E3849"/>
  <c r="B3849"/>
  <c r="E3848"/>
  <c r="B3848"/>
  <c r="E3847"/>
  <c r="B3847"/>
  <c r="E3846"/>
  <c r="B3846"/>
  <c r="E3845"/>
  <c r="B3845"/>
  <c r="E3844"/>
  <c r="B3844"/>
  <c r="E3843"/>
  <c r="B3843"/>
  <c r="E3842"/>
  <c r="B3842"/>
  <c r="E3841"/>
  <c r="B3841"/>
  <c r="E3840"/>
  <c r="B3840"/>
  <c r="E3839"/>
  <c r="B3839"/>
  <c r="E3838"/>
  <c r="B3838"/>
  <c r="E3837"/>
  <c r="B3837"/>
  <c r="E3836"/>
  <c r="B3836"/>
  <c r="E3835"/>
  <c r="B3835"/>
  <c r="E3834"/>
  <c r="B3834"/>
  <c r="E3833"/>
  <c r="B3833"/>
  <c r="E3832"/>
  <c r="B3832"/>
  <c r="E3831"/>
  <c r="B3831"/>
  <c r="E3830"/>
  <c r="B3830"/>
  <c r="E3829"/>
  <c r="B3829"/>
  <c r="E3828"/>
  <c r="B3828"/>
  <c r="E3827"/>
  <c r="B3827"/>
  <c r="E3826"/>
  <c r="B3826"/>
  <c r="E3825"/>
  <c r="B3825"/>
  <c r="E3824"/>
  <c r="B3824"/>
  <c r="E3823"/>
  <c r="B3823"/>
  <c r="E3822"/>
  <c r="B3822"/>
  <c r="E3821"/>
  <c r="B3821"/>
  <c r="E3820"/>
  <c r="B3820"/>
  <c r="E3819"/>
  <c r="B3819"/>
  <c r="E3818"/>
  <c r="B3818"/>
  <c r="E3817"/>
  <c r="B3817"/>
  <c r="E3816"/>
  <c r="B3816"/>
  <c r="E3815"/>
  <c r="B3815"/>
  <c r="E3814"/>
  <c r="B3814"/>
  <c r="E3813"/>
  <c r="B3813"/>
  <c r="E3812"/>
  <c r="B3812"/>
  <c r="E3811"/>
  <c r="B3811"/>
  <c r="E3810"/>
  <c r="B3810"/>
  <c r="E3809"/>
  <c r="B3809"/>
  <c r="E3808"/>
  <c r="B3808"/>
  <c r="E3807"/>
  <c r="B3807"/>
  <c r="E3806"/>
  <c r="B3806"/>
  <c r="E3805"/>
  <c r="B3805"/>
  <c r="E3804"/>
  <c r="B3804"/>
  <c r="E3803"/>
  <c r="B3803"/>
  <c r="E3802"/>
  <c r="B3802"/>
  <c r="E3801"/>
  <c r="B3801"/>
  <c r="E3800"/>
  <c r="B3800"/>
  <c r="E3799"/>
  <c r="B3799"/>
  <c r="E3798"/>
  <c r="B3798"/>
  <c r="E3797"/>
  <c r="B3797"/>
  <c r="E3796"/>
  <c r="B3796"/>
  <c r="E3795"/>
  <c r="B3795"/>
  <c r="E3794"/>
  <c r="B3794"/>
  <c r="E3793"/>
  <c r="B3793"/>
  <c r="E3792"/>
  <c r="B3792"/>
  <c r="E3791"/>
  <c r="B3791"/>
  <c r="E3790"/>
  <c r="B3790"/>
  <c r="E3789"/>
  <c r="B3789"/>
  <c r="E3788"/>
  <c r="B3788"/>
  <c r="E3787"/>
  <c r="B3787"/>
  <c r="E3786"/>
  <c r="B3786"/>
  <c r="E3785"/>
  <c r="B3785"/>
  <c r="E3784"/>
  <c r="B3784"/>
  <c r="E3783"/>
  <c r="B3783"/>
  <c r="E3782"/>
  <c r="B3782"/>
  <c r="E3781"/>
  <c r="B3781"/>
  <c r="E3780"/>
  <c r="B3780"/>
  <c r="E3779"/>
  <c r="B3779"/>
  <c r="E3778"/>
  <c r="B3778"/>
  <c r="E3777"/>
  <c r="B3777"/>
  <c r="E3776"/>
  <c r="B3776"/>
  <c r="E3775"/>
  <c r="B3775"/>
  <c r="E3774"/>
  <c r="B3774"/>
  <c r="E3773"/>
  <c r="B3773"/>
  <c r="E3772"/>
  <c r="B3772"/>
  <c r="E3771"/>
  <c r="B3771"/>
  <c r="E3770"/>
  <c r="B3770"/>
  <c r="E3769"/>
  <c r="B3769"/>
  <c r="E3768"/>
  <c r="B3768"/>
  <c r="E3767"/>
  <c r="B3767"/>
  <c r="E3766"/>
  <c r="B3766"/>
  <c r="E3765"/>
  <c r="B3765"/>
  <c r="E3764"/>
  <c r="B3764"/>
  <c r="E3763"/>
  <c r="B3763"/>
  <c r="E3762"/>
  <c r="B3762"/>
  <c r="E3761"/>
  <c r="B3761"/>
  <c r="E3760"/>
  <c r="B3760"/>
  <c r="E3759"/>
  <c r="B3759"/>
  <c r="E3758"/>
  <c r="B3758"/>
  <c r="E3757"/>
  <c r="B3757"/>
  <c r="E3756"/>
  <c r="B3756"/>
  <c r="E3755"/>
  <c r="B3755"/>
  <c r="E3754"/>
  <c r="B3754"/>
  <c r="E3753"/>
  <c r="B3753"/>
  <c r="E3752"/>
  <c r="B3752"/>
  <c r="E3751"/>
  <c r="B3751"/>
  <c r="E3750"/>
  <c r="B3750"/>
  <c r="E3749"/>
  <c r="B3749"/>
  <c r="E3748"/>
  <c r="B3748"/>
  <c r="E3747"/>
  <c r="B3747"/>
  <c r="E3746"/>
  <c r="B3746"/>
  <c r="E3745"/>
  <c r="B3745"/>
  <c r="E3744"/>
  <c r="B3744"/>
  <c r="E3743"/>
  <c r="B3743"/>
  <c r="E3742"/>
  <c r="B3742"/>
  <c r="E3741"/>
  <c r="B3741"/>
  <c r="E3740"/>
  <c r="B3740"/>
  <c r="E3739"/>
  <c r="B3739"/>
  <c r="E3738"/>
  <c r="B3738"/>
  <c r="E3737"/>
  <c r="B3737"/>
  <c r="E3736"/>
  <c r="B3736"/>
  <c r="E3735"/>
  <c r="B3735"/>
  <c r="E3734"/>
  <c r="B3734"/>
  <c r="E3733"/>
  <c r="B3733"/>
  <c r="E3732"/>
  <c r="B3732"/>
  <c r="E3731"/>
  <c r="B3731"/>
  <c r="E3730"/>
  <c r="B3730"/>
  <c r="E3729"/>
  <c r="B3729"/>
  <c r="E3728"/>
  <c r="B3728"/>
  <c r="E3727"/>
  <c r="B3727"/>
  <c r="E3726"/>
  <c r="B3726"/>
  <c r="E3725"/>
  <c r="B3725"/>
  <c r="E3724"/>
  <c r="B3724"/>
  <c r="E3723"/>
  <c r="B3723"/>
  <c r="E3722"/>
  <c r="B3722"/>
  <c r="E3721"/>
  <c r="B3721"/>
  <c r="E3720"/>
  <c r="B3720"/>
  <c r="E3719"/>
  <c r="B3719"/>
  <c r="E3718"/>
  <c r="B3718"/>
  <c r="E3717"/>
  <c r="B3717"/>
  <c r="E3716"/>
  <c r="B3716"/>
  <c r="E3715"/>
  <c r="B3715"/>
  <c r="E3714"/>
  <c r="B3714"/>
  <c r="E3713"/>
  <c r="B3713"/>
  <c r="E3712"/>
  <c r="B3712"/>
  <c r="E3711"/>
  <c r="B3711"/>
  <c r="E3710"/>
  <c r="B3710"/>
  <c r="E3709"/>
  <c r="B3709"/>
  <c r="E3708"/>
  <c r="B3708"/>
  <c r="E3707"/>
  <c r="B3707"/>
  <c r="E3706"/>
  <c r="B3706"/>
  <c r="E3705"/>
  <c r="B3705"/>
  <c r="E3704"/>
  <c r="B3704"/>
  <c r="E3703"/>
  <c r="B3703"/>
  <c r="E3702"/>
  <c r="B3702"/>
  <c r="E3701"/>
  <c r="B3701"/>
  <c r="E3700"/>
  <c r="B3700"/>
  <c r="E3699"/>
  <c r="B3699"/>
  <c r="E3698"/>
  <c r="B3698"/>
  <c r="E3697"/>
  <c r="B3697"/>
  <c r="E3696"/>
  <c r="B3696"/>
  <c r="E3695"/>
  <c r="B3695"/>
  <c r="E3694"/>
  <c r="B3694"/>
  <c r="E3693"/>
  <c r="B3693"/>
  <c r="E3692"/>
  <c r="B3692"/>
  <c r="E3691"/>
  <c r="B3691"/>
  <c r="E3690"/>
  <c r="B3690"/>
  <c r="E3689"/>
  <c r="B3689"/>
  <c r="E3688"/>
  <c r="B3688"/>
  <c r="E3687"/>
  <c r="B3687"/>
  <c r="E3686"/>
  <c r="B3686"/>
  <c r="E3685"/>
  <c r="B3685"/>
  <c r="E3684"/>
  <c r="B3684"/>
  <c r="E3683"/>
  <c r="B3683"/>
  <c r="E3682"/>
  <c r="B3682"/>
  <c r="E3681"/>
  <c r="B3681"/>
  <c r="E3680"/>
  <c r="B3680"/>
  <c r="E3679"/>
  <c r="B3679"/>
  <c r="E3678"/>
  <c r="B3678"/>
  <c r="E3677"/>
  <c r="B3677"/>
  <c r="E3676"/>
  <c r="B3676"/>
  <c r="E3675"/>
  <c r="B3675"/>
  <c r="E3674"/>
  <c r="B3674"/>
  <c r="E3673"/>
  <c r="B3673"/>
  <c r="E3672"/>
  <c r="B3672"/>
  <c r="E3671"/>
  <c r="B3671"/>
  <c r="E3670"/>
  <c r="B3670"/>
  <c r="E3669"/>
  <c r="B3669"/>
  <c r="E3668"/>
  <c r="B3668"/>
  <c r="E3667"/>
  <c r="B3667"/>
  <c r="E3666"/>
  <c r="B3666"/>
  <c r="E3665"/>
  <c r="B3665"/>
  <c r="E3664"/>
  <c r="B3664"/>
  <c r="E3663"/>
  <c r="B3663"/>
  <c r="E3662"/>
  <c r="B3662"/>
  <c r="E3661"/>
  <c r="B3661"/>
  <c r="E3660"/>
  <c r="B3660"/>
  <c r="E3659"/>
  <c r="B3659"/>
  <c r="E3658"/>
  <c r="B3658"/>
  <c r="E3657"/>
  <c r="B3657"/>
  <c r="E3656"/>
  <c r="B3656"/>
  <c r="E3655"/>
  <c r="B3655"/>
  <c r="E3654"/>
  <c r="B3654"/>
  <c r="E3653"/>
  <c r="B3653"/>
  <c r="E3652"/>
  <c r="B3652"/>
  <c r="E3651"/>
  <c r="B3651"/>
  <c r="E3650"/>
  <c r="B3650"/>
  <c r="E3649"/>
  <c r="B3649"/>
  <c r="E3648"/>
  <c r="B3648"/>
  <c r="E3647"/>
  <c r="B3647"/>
  <c r="E3646"/>
  <c r="B3646"/>
  <c r="E3645"/>
  <c r="B3645"/>
  <c r="E3644"/>
  <c r="B3644"/>
  <c r="E3643"/>
  <c r="B3643"/>
  <c r="E3642"/>
  <c r="B3642"/>
  <c r="E3641"/>
  <c r="B3641"/>
  <c r="E3640"/>
  <c r="B3640"/>
  <c r="E3639"/>
  <c r="B3639"/>
  <c r="E3638"/>
  <c r="B3638"/>
  <c r="E3637"/>
  <c r="B3637"/>
  <c r="E3636"/>
  <c r="B3636"/>
  <c r="E3635"/>
  <c r="B3635"/>
  <c r="E3634"/>
  <c r="B3634"/>
  <c r="E3633"/>
  <c r="B3633"/>
  <c r="E3632"/>
  <c r="B3632"/>
  <c r="E3631"/>
  <c r="B3631"/>
  <c r="E3630"/>
  <c r="B3630"/>
  <c r="E3629"/>
  <c r="B3629"/>
  <c r="E3628"/>
  <c r="B3628"/>
  <c r="E3627"/>
  <c r="B3627"/>
  <c r="E3626"/>
  <c r="B3626"/>
  <c r="E3625"/>
  <c r="B3625"/>
  <c r="E3624"/>
  <c r="B3624"/>
  <c r="E3623"/>
  <c r="B3623"/>
  <c r="E3622"/>
  <c r="B3622"/>
  <c r="E3621"/>
  <c r="B3621"/>
  <c r="E3620"/>
  <c r="B3620"/>
  <c r="E3619"/>
  <c r="B3619"/>
  <c r="E3618"/>
  <c r="B3618"/>
  <c r="E3617"/>
  <c r="B3617"/>
  <c r="E3616"/>
  <c r="B3616"/>
  <c r="E3615"/>
  <c r="B3615"/>
  <c r="E3614"/>
  <c r="B3614"/>
  <c r="E3613"/>
  <c r="B3613"/>
  <c r="E3612"/>
  <c r="B3612"/>
  <c r="E3611"/>
  <c r="B3611"/>
  <c r="E3610"/>
  <c r="B3610"/>
  <c r="E3609"/>
  <c r="B3609"/>
  <c r="E3608"/>
  <c r="B3608"/>
  <c r="E3607"/>
  <c r="B3607"/>
  <c r="E3606"/>
  <c r="B3606"/>
  <c r="E3605"/>
  <c r="B3605"/>
  <c r="E3604"/>
  <c r="B3604"/>
  <c r="E3603"/>
  <c r="B3603"/>
  <c r="E3602"/>
  <c r="B3602"/>
  <c r="E3601"/>
  <c r="B3601"/>
  <c r="E3600"/>
  <c r="B3600"/>
  <c r="E3599"/>
  <c r="B3599"/>
  <c r="E3598"/>
  <c r="B3598"/>
  <c r="E3597"/>
  <c r="B3597"/>
  <c r="E3596"/>
  <c r="B3596"/>
  <c r="E3595"/>
  <c r="B3595"/>
  <c r="E3594"/>
  <c r="B3594"/>
  <c r="E3593"/>
  <c r="B3593"/>
  <c r="E3592"/>
  <c r="B3592"/>
  <c r="E3591"/>
  <c r="B3591"/>
  <c r="E3590"/>
  <c r="B3590"/>
  <c r="E3589"/>
  <c r="B3589"/>
  <c r="E3588"/>
  <c r="B3588"/>
  <c r="E3587"/>
  <c r="B3587"/>
  <c r="E3586"/>
  <c r="B3586"/>
  <c r="E3585"/>
  <c r="B3585"/>
  <c r="E3584"/>
  <c r="B3584"/>
  <c r="E3583"/>
  <c r="B3583"/>
  <c r="E3582"/>
  <c r="B3582"/>
  <c r="E3581"/>
  <c r="B3581"/>
  <c r="E3580"/>
  <c r="B3580"/>
  <c r="E3579"/>
  <c r="B3579"/>
  <c r="E3578"/>
  <c r="B3578"/>
  <c r="E3577"/>
  <c r="B3577"/>
  <c r="E3576"/>
  <c r="B3576"/>
  <c r="E3575"/>
  <c r="B3575"/>
  <c r="E3574"/>
  <c r="B3574"/>
  <c r="E3573"/>
  <c r="B3573"/>
  <c r="E3572"/>
  <c r="B3572"/>
  <c r="E3571"/>
  <c r="B3571"/>
  <c r="E3570"/>
  <c r="B3570"/>
  <c r="E3569"/>
  <c r="B3569"/>
  <c r="E3568"/>
  <c r="B3568"/>
  <c r="E3567"/>
  <c r="B3567"/>
  <c r="E3566"/>
  <c r="B3566"/>
  <c r="E3565"/>
  <c r="B3565"/>
  <c r="E3564"/>
  <c r="B3564"/>
  <c r="E3563"/>
  <c r="B3563"/>
  <c r="E3562"/>
  <c r="B3562"/>
  <c r="E3561"/>
  <c r="B3561"/>
  <c r="E3560"/>
  <c r="B3560"/>
  <c r="E3559"/>
  <c r="B3559"/>
  <c r="E3558"/>
  <c r="B3558"/>
  <c r="E3557"/>
  <c r="B3557"/>
  <c r="E3556"/>
  <c r="B3556"/>
  <c r="E3555"/>
  <c r="B3555"/>
  <c r="E3554"/>
  <c r="B3554"/>
  <c r="E3553"/>
  <c r="B3553"/>
  <c r="E3552"/>
  <c r="B3552"/>
  <c r="E3551"/>
  <c r="B3551"/>
  <c r="E3550"/>
  <c r="B3550"/>
  <c r="E3549"/>
  <c r="B3549"/>
  <c r="E3548"/>
  <c r="B3548"/>
  <c r="E3547"/>
  <c r="B3547"/>
  <c r="E3546"/>
  <c r="B3546"/>
  <c r="E3545"/>
  <c r="B3545"/>
  <c r="E3544"/>
  <c r="B3544"/>
  <c r="E3543"/>
  <c r="B3543"/>
  <c r="E3542"/>
  <c r="B3542"/>
  <c r="E3541"/>
  <c r="B3541"/>
  <c r="E3540"/>
  <c r="B3540"/>
  <c r="E3539"/>
  <c r="B3539"/>
  <c r="E3538"/>
  <c r="B3538"/>
  <c r="E3537"/>
  <c r="B3537"/>
  <c r="E3536"/>
  <c r="B3536"/>
  <c r="E3535"/>
  <c r="B3535"/>
  <c r="E3534"/>
  <c r="B3534"/>
  <c r="E3533"/>
  <c r="B3533"/>
  <c r="E3532"/>
  <c r="B3532"/>
  <c r="E3531"/>
  <c r="B3531"/>
  <c r="E3530"/>
  <c r="B3530"/>
  <c r="E3529"/>
  <c r="B3529"/>
  <c r="E3528"/>
  <c r="B3528"/>
  <c r="E3527"/>
  <c r="B3527"/>
  <c r="E3526"/>
  <c r="B3526"/>
  <c r="E3525"/>
  <c r="B3525"/>
  <c r="E3524"/>
  <c r="B3524"/>
  <c r="E3523"/>
  <c r="B3523"/>
  <c r="E3522"/>
  <c r="B3522"/>
  <c r="E3521"/>
  <c r="B3521"/>
  <c r="E3520"/>
  <c r="B3520"/>
  <c r="E3519"/>
  <c r="B3519"/>
  <c r="E3518"/>
  <c r="B3518"/>
  <c r="E3517"/>
  <c r="B3517"/>
  <c r="E3516"/>
  <c r="B3516"/>
  <c r="E3515"/>
  <c r="B3515"/>
  <c r="E3514"/>
  <c r="B3514"/>
  <c r="E3513"/>
  <c r="B3513"/>
  <c r="E3512"/>
  <c r="B3512"/>
  <c r="E3511"/>
  <c r="B3511"/>
  <c r="E3510"/>
  <c r="B3510"/>
  <c r="E3509"/>
  <c r="B3509"/>
  <c r="E3508"/>
  <c r="B3508"/>
  <c r="E3507"/>
  <c r="B3507"/>
  <c r="E3506"/>
  <c r="B3506"/>
  <c r="E3505"/>
  <c r="B3505"/>
  <c r="E3504"/>
  <c r="B3504"/>
  <c r="E3503"/>
  <c r="B3503"/>
  <c r="E3502"/>
  <c r="B3502"/>
  <c r="E3501"/>
  <c r="B3501"/>
  <c r="E3500"/>
  <c r="B3500"/>
  <c r="E3499"/>
  <c r="B3499"/>
  <c r="E3498"/>
  <c r="B3498"/>
  <c r="E3497"/>
  <c r="B3497"/>
  <c r="E3496"/>
  <c r="B3496"/>
  <c r="E3495"/>
  <c r="B3495"/>
  <c r="E3494"/>
  <c r="B3494"/>
  <c r="E3493"/>
  <c r="B3493"/>
  <c r="E3492"/>
  <c r="B3492"/>
  <c r="E3491"/>
  <c r="B3491"/>
  <c r="E3490"/>
  <c r="B3490"/>
  <c r="E3489"/>
  <c r="B3489"/>
  <c r="E3488"/>
  <c r="B3488"/>
  <c r="E3487"/>
  <c r="B3487"/>
  <c r="E3486"/>
  <c r="B3486"/>
  <c r="E3485"/>
  <c r="B3485"/>
  <c r="E3484"/>
  <c r="B3484"/>
  <c r="E3483"/>
  <c r="B3483"/>
  <c r="E3482"/>
  <c r="B3482"/>
  <c r="E3481"/>
  <c r="B3481"/>
  <c r="E3480"/>
  <c r="B3480"/>
  <c r="E3479"/>
  <c r="B3479"/>
  <c r="E3478"/>
  <c r="B3478"/>
  <c r="E3477"/>
  <c r="B3477"/>
  <c r="E3476"/>
  <c r="B3476"/>
  <c r="E3475"/>
  <c r="B3475"/>
  <c r="E3474"/>
  <c r="B3474"/>
  <c r="E3473"/>
  <c r="B3473"/>
  <c r="E3472"/>
  <c r="B3472"/>
  <c r="E3471"/>
  <c r="B3471"/>
  <c r="E3470"/>
  <c r="B3470"/>
  <c r="E3469"/>
  <c r="B3469"/>
  <c r="E3468"/>
  <c r="B3468"/>
  <c r="E3467"/>
  <c r="B3467"/>
  <c r="E3466"/>
  <c r="B3466"/>
  <c r="E3465"/>
  <c r="B3465"/>
  <c r="E3464"/>
  <c r="B3464"/>
  <c r="E3463"/>
  <c r="B3463"/>
  <c r="E3462"/>
  <c r="B3462"/>
  <c r="E3461"/>
  <c r="B3461"/>
  <c r="E3460"/>
  <c r="B3460"/>
  <c r="E3459"/>
  <c r="B3459"/>
  <c r="E3458"/>
  <c r="B3458"/>
  <c r="E3457"/>
  <c r="B3457"/>
  <c r="E3456"/>
  <c r="B3456"/>
  <c r="E3455"/>
  <c r="B3455"/>
  <c r="E3454"/>
  <c r="B3454"/>
  <c r="E3453"/>
  <c r="B3453"/>
  <c r="E3452"/>
  <c r="B3452"/>
  <c r="E3451"/>
  <c r="B3451"/>
  <c r="E3450"/>
  <c r="B3450"/>
  <c r="E3449"/>
  <c r="B3449"/>
  <c r="E3448"/>
  <c r="B3448"/>
  <c r="E3447"/>
  <c r="B3447"/>
  <c r="E3446"/>
  <c r="B3446"/>
  <c r="E3445"/>
  <c r="B3445"/>
  <c r="E3444"/>
  <c r="B3444"/>
  <c r="E3443"/>
  <c r="B3443"/>
  <c r="E3442"/>
  <c r="B3442"/>
  <c r="E3441"/>
  <c r="B3441"/>
  <c r="E3440"/>
  <c r="B3440"/>
  <c r="E3439"/>
  <c r="B3439"/>
  <c r="E3438"/>
  <c r="B3438"/>
  <c r="E3437"/>
  <c r="B3437"/>
  <c r="E3436"/>
  <c r="B3436"/>
  <c r="E3435"/>
  <c r="B3435"/>
  <c r="E3434"/>
  <c r="B3434"/>
  <c r="E3433"/>
  <c r="B3433"/>
  <c r="E3432"/>
  <c r="B3432"/>
  <c r="E3431"/>
  <c r="B3431"/>
  <c r="E3430"/>
  <c r="B3430"/>
  <c r="E3429"/>
  <c r="B3429"/>
  <c r="E3428"/>
  <c r="B3428"/>
  <c r="E3427"/>
  <c r="B3427"/>
  <c r="E3426"/>
  <c r="B3426"/>
  <c r="E3425"/>
  <c r="B3425"/>
  <c r="E3424"/>
  <c r="B3424"/>
  <c r="E3423"/>
  <c r="B3423"/>
  <c r="E3422"/>
  <c r="B3422"/>
  <c r="E3421"/>
  <c r="B3421"/>
  <c r="E3420"/>
  <c r="B3420"/>
  <c r="E3419"/>
  <c r="B3419"/>
  <c r="E3418"/>
  <c r="B3418"/>
  <c r="E3417"/>
  <c r="B3417"/>
  <c r="E3416"/>
  <c r="B3416"/>
  <c r="E3415"/>
  <c r="B3415"/>
  <c r="E3414"/>
  <c r="B3414"/>
  <c r="E3413"/>
  <c r="B3413"/>
  <c r="E3412"/>
  <c r="B3412"/>
  <c r="E3411"/>
  <c r="B3411"/>
  <c r="E3410"/>
  <c r="B3410"/>
  <c r="E3409"/>
  <c r="B3409"/>
  <c r="E3408"/>
  <c r="B3408"/>
  <c r="E3407"/>
  <c r="B3407"/>
  <c r="E3406"/>
  <c r="B3406"/>
  <c r="E3405"/>
  <c r="B3405"/>
  <c r="E3404"/>
  <c r="B3404"/>
  <c r="E3403"/>
  <c r="B3403"/>
  <c r="E3402"/>
  <c r="B3402"/>
  <c r="E3401"/>
  <c r="B3401"/>
  <c r="E3400"/>
  <c r="B3400"/>
  <c r="E3399"/>
  <c r="B3399"/>
  <c r="E3398"/>
  <c r="B3398"/>
  <c r="E3397"/>
  <c r="B3397"/>
  <c r="E3396"/>
  <c r="B3396"/>
  <c r="E3395"/>
  <c r="B3395"/>
  <c r="E3394"/>
  <c r="B3394"/>
  <c r="E3393"/>
  <c r="B3393"/>
  <c r="E3392"/>
  <c r="B3392"/>
  <c r="E3391"/>
  <c r="B3391"/>
  <c r="E3390"/>
  <c r="B3390"/>
  <c r="E3389"/>
  <c r="B3389"/>
  <c r="E3388"/>
  <c r="B3388"/>
  <c r="E3387"/>
  <c r="B3387"/>
  <c r="E3386"/>
  <c r="B3386"/>
  <c r="E3385"/>
  <c r="B3385"/>
  <c r="E3384"/>
  <c r="B3384"/>
  <c r="E3383"/>
  <c r="B3383"/>
  <c r="E3382"/>
  <c r="B3382"/>
  <c r="E3381"/>
  <c r="B3381"/>
  <c r="E3380"/>
  <c r="B3380"/>
  <c r="E3379"/>
  <c r="B3379"/>
  <c r="E3378"/>
  <c r="B3378"/>
  <c r="E3377"/>
  <c r="B3377"/>
  <c r="E3376"/>
  <c r="B3376"/>
  <c r="E3375"/>
  <c r="B3375"/>
  <c r="E3374"/>
  <c r="B3374"/>
  <c r="E3373"/>
  <c r="B3373"/>
  <c r="E3372"/>
  <c r="B3372"/>
  <c r="E3371"/>
  <c r="B3371"/>
  <c r="E3370"/>
  <c r="B3370"/>
  <c r="E3369"/>
  <c r="B3369"/>
  <c r="E3368"/>
  <c r="B3368"/>
  <c r="E3367"/>
  <c r="B3367"/>
  <c r="E3366"/>
  <c r="B3366"/>
  <c r="E3365"/>
  <c r="B3365"/>
  <c r="E3364"/>
  <c r="B3364"/>
  <c r="E3363"/>
  <c r="B3363"/>
  <c r="E3362"/>
  <c r="B3362"/>
  <c r="E3361"/>
  <c r="B3361"/>
  <c r="E3360"/>
  <c r="B3360"/>
  <c r="E3359"/>
  <c r="B3359"/>
  <c r="E3358"/>
  <c r="B3358"/>
  <c r="E3357"/>
  <c r="B3357"/>
  <c r="E3356"/>
  <c r="B3356"/>
  <c r="E3355"/>
  <c r="B3355"/>
  <c r="E3354"/>
  <c r="B3354"/>
  <c r="E3353"/>
  <c r="B3353"/>
  <c r="E3352"/>
  <c r="B3352"/>
  <c r="E3351"/>
  <c r="B3351"/>
  <c r="E3350"/>
  <c r="B3350"/>
  <c r="E3349"/>
  <c r="B3349"/>
  <c r="E3348"/>
  <c r="B3348"/>
  <c r="E3347"/>
  <c r="B3347"/>
  <c r="E3346"/>
  <c r="B3346"/>
  <c r="E3345"/>
  <c r="B3345"/>
  <c r="E3344"/>
  <c r="B3344"/>
  <c r="E3343"/>
  <c r="B3343"/>
  <c r="E3342"/>
  <c r="B3342"/>
  <c r="E3341"/>
  <c r="B3341"/>
  <c r="E3340"/>
  <c r="B3340"/>
  <c r="E3339"/>
  <c r="B3339"/>
  <c r="E3338"/>
  <c r="B3338"/>
  <c r="E3337"/>
  <c r="B3337"/>
  <c r="E3336"/>
  <c r="B3336"/>
  <c r="E3335"/>
  <c r="B3335"/>
  <c r="E3334"/>
  <c r="B3334"/>
  <c r="E3333"/>
  <c r="B3333"/>
  <c r="E3332"/>
  <c r="B3332"/>
  <c r="E3331"/>
  <c r="B3331"/>
  <c r="E3330"/>
  <c r="B3330"/>
  <c r="E3329"/>
  <c r="B3329"/>
  <c r="E3328"/>
  <c r="B3328"/>
  <c r="E3327"/>
  <c r="B3327"/>
  <c r="E3326"/>
  <c r="B3326"/>
  <c r="E3325"/>
  <c r="B3325"/>
  <c r="E3324"/>
  <c r="B3324"/>
  <c r="E3323"/>
  <c r="B3323"/>
  <c r="E3322"/>
  <c r="B3322"/>
  <c r="E3321"/>
  <c r="B3321"/>
  <c r="E3320"/>
  <c r="B3320"/>
  <c r="E3319"/>
  <c r="B3319"/>
  <c r="E3318"/>
  <c r="B3318"/>
  <c r="E3317"/>
  <c r="B3317"/>
  <c r="E3316"/>
  <c r="B3316"/>
  <c r="E3315"/>
  <c r="B3315"/>
  <c r="E3314"/>
  <c r="B3314"/>
  <c r="E3313"/>
  <c r="B3313"/>
  <c r="E3312"/>
  <c r="B3312"/>
  <c r="E3311"/>
  <c r="B3311"/>
  <c r="E3310"/>
  <c r="B3310"/>
  <c r="E3309"/>
  <c r="B3309"/>
  <c r="E3308"/>
  <c r="B3308"/>
  <c r="E3307"/>
  <c r="B3307"/>
  <c r="E3306"/>
  <c r="B3306"/>
  <c r="E3305"/>
  <c r="B3305"/>
  <c r="E3304"/>
  <c r="B3304"/>
  <c r="E3303"/>
  <c r="B3303"/>
  <c r="E3302"/>
  <c r="B3302"/>
  <c r="E3301"/>
  <c r="B3301"/>
  <c r="E3300"/>
  <c r="B3300"/>
  <c r="E3299"/>
  <c r="B3299"/>
  <c r="E3298"/>
  <c r="B3298"/>
  <c r="E3297"/>
  <c r="B3297"/>
  <c r="E3296"/>
  <c r="B3296"/>
  <c r="E3295"/>
  <c r="B3295"/>
  <c r="E3294"/>
  <c r="B3294"/>
  <c r="E3293"/>
  <c r="B3293"/>
  <c r="E3292"/>
  <c r="B3292"/>
  <c r="E3291"/>
  <c r="B3291"/>
  <c r="E3290"/>
  <c r="B3290"/>
  <c r="E3289"/>
  <c r="B3289"/>
  <c r="E3288"/>
  <c r="B3288"/>
  <c r="E3287"/>
  <c r="B3287"/>
  <c r="E3286"/>
  <c r="B3286"/>
  <c r="E3285"/>
  <c r="B3285"/>
  <c r="E3284"/>
  <c r="B3284"/>
  <c r="E3283"/>
  <c r="B3283"/>
  <c r="E3282"/>
  <c r="B3282"/>
  <c r="E3281"/>
  <c r="B3281"/>
  <c r="E3280"/>
  <c r="B3280"/>
  <c r="E3279"/>
  <c r="B3279"/>
  <c r="E3278"/>
  <c r="B3278"/>
  <c r="E3277"/>
  <c r="B3277"/>
  <c r="E3276"/>
  <c r="B3276"/>
  <c r="E3275"/>
  <c r="B3275"/>
  <c r="E3274"/>
  <c r="B3274"/>
  <c r="E3273"/>
  <c r="B3273"/>
  <c r="E3272"/>
  <c r="B3272"/>
  <c r="E3271"/>
  <c r="B3271"/>
  <c r="E3270"/>
  <c r="B3270"/>
  <c r="E3269"/>
  <c r="B3269"/>
  <c r="E3268"/>
  <c r="B3268"/>
  <c r="E3267"/>
  <c r="B3267"/>
  <c r="E3266"/>
  <c r="B3266"/>
  <c r="E3265"/>
  <c r="B3265"/>
  <c r="E3264"/>
  <c r="B3264"/>
  <c r="E3263"/>
  <c r="B3263"/>
  <c r="E3262"/>
  <c r="B3262"/>
  <c r="E3261"/>
  <c r="B3261"/>
  <c r="E3260"/>
  <c r="B3260"/>
  <c r="E3259"/>
  <c r="B3259"/>
  <c r="E3258"/>
  <c r="B3258"/>
  <c r="E3257"/>
  <c r="B3257"/>
  <c r="E3256"/>
  <c r="B3256"/>
  <c r="E3255"/>
  <c r="B3255"/>
  <c r="E3254"/>
  <c r="B3254"/>
  <c r="E3253"/>
  <c r="B3253"/>
  <c r="E3252"/>
  <c r="B3252"/>
  <c r="E3251"/>
  <c r="B3251"/>
  <c r="E3250"/>
  <c r="B3250"/>
  <c r="E3249"/>
  <c r="B3249"/>
  <c r="E3248"/>
  <c r="B3248"/>
  <c r="E3247"/>
  <c r="B3247"/>
  <c r="E3246"/>
  <c r="B3246"/>
  <c r="E3245"/>
  <c r="B3245"/>
  <c r="E3244"/>
  <c r="B3244"/>
  <c r="E3243"/>
  <c r="B3243"/>
  <c r="E3242"/>
  <c r="B3242"/>
  <c r="E3241"/>
  <c r="B3241"/>
  <c r="E3240"/>
  <c r="B3240"/>
  <c r="E3239"/>
  <c r="B3239"/>
  <c r="E3238"/>
  <c r="B3238"/>
  <c r="E3237"/>
  <c r="B3237"/>
  <c r="E3236"/>
  <c r="B3236"/>
  <c r="E3235"/>
  <c r="B3235"/>
  <c r="E3234"/>
  <c r="B3234"/>
  <c r="E3233"/>
  <c r="B3233"/>
  <c r="E3232"/>
  <c r="B3232"/>
  <c r="E3231"/>
  <c r="B3231"/>
  <c r="E3230"/>
  <c r="B3230"/>
  <c r="E3229"/>
  <c r="B3229"/>
  <c r="E3228"/>
  <c r="B3228"/>
  <c r="E3227"/>
  <c r="B3227"/>
  <c r="E3226"/>
  <c r="B3226"/>
  <c r="E3225"/>
  <c r="B3225"/>
  <c r="E3224"/>
  <c r="B3224"/>
  <c r="E3223"/>
  <c r="B3223"/>
  <c r="E3222"/>
  <c r="B3222"/>
  <c r="E3221"/>
  <c r="B3221"/>
  <c r="E3220"/>
  <c r="B3220"/>
  <c r="E3219"/>
  <c r="B3219"/>
  <c r="E3218"/>
  <c r="B3218"/>
  <c r="E3217"/>
  <c r="B3217"/>
  <c r="E3216"/>
  <c r="B3216"/>
  <c r="E3215"/>
  <c r="B3215"/>
  <c r="E3214"/>
  <c r="B3214"/>
  <c r="E3213"/>
  <c r="B3213"/>
  <c r="E3212"/>
  <c r="B3212"/>
  <c r="E3211"/>
  <c r="B3211"/>
  <c r="E3210"/>
  <c r="B3210"/>
  <c r="E3209"/>
  <c r="B3209"/>
  <c r="E3208"/>
  <c r="B3208"/>
  <c r="E3207"/>
  <c r="B3207"/>
  <c r="E3206"/>
  <c r="B3206"/>
  <c r="E3205"/>
  <c r="B3205"/>
  <c r="E3204"/>
  <c r="B3204"/>
  <c r="E3203"/>
  <c r="B3203"/>
  <c r="E3202"/>
  <c r="B3202"/>
  <c r="E3201"/>
  <c r="B3201"/>
  <c r="E3200"/>
  <c r="B3200"/>
  <c r="E3199"/>
  <c r="B3199"/>
  <c r="E3198"/>
  <c r="B3198"/>
  <c r="E3197"/>
  <c r="B3197"/>
  <c r="E3196"/>
  <c r="B3196"/>
  <c r="E3195"/>
  <c r="B3195"/>
  <c r="E3194"/>
  <c r="B3194"/>
  <c r="E3193"/>
  <c r="B3193"/>
  <c r="E3192"/>
  <c r="B3192"/>
  <c r="E3191"/>
  <c r="B3191"/>
  <c r="E3190"/>
  <c r="B3190"/>
  <c r="E3189"/>
  <c r="B3189"/>
  <c r="E3188"/>
  <c r="B3188"/>
  <c r="E3187"/>
  <c r="B3187"/>
  <c r="E3186"/>
  <c r="B3186"/>
  <c r="E3185"/>
  <c r="B3185"/>
  <c r="E3184"/>
  <c r="B3184"/>
  <c r="E3183"/>
  <c r="B3183"/>
  <c r="E3182"/>
  <c r="B3182"/>
  <c r="E3181"/>
  <c r="B3181"/>
  <c r="E3180"/>
  <c r="B3180"/>
  <c r="E3179"/>
  <c r="B3179"/>
  <c r="E3178"/>
  <c r="B3178"/>
  <c r="E3177"/>
  <c r="B3177"/>
  <c r="E3176"/>
  <c r="B3176"/>
  <c r="E3175"/>
  <c r="B3175"/>
  <c r="E3174"/>
  <c r="B3174"/>
  <c r="E3173"/>
  <c r="B3173"/>
  <c r="E3172"/>
  <c r="B3172"/>
  <c r="E3171"/>
  <c r="B3171"/>
  <c r="E3170"/>
  <c r="B3170"/>
  <c r="E3169"/>
  <c r="B3169"/>
  <c r="E3168"/>
  <c r="B3168"/>
  <c r="E3167"/>
  <c r="B3167"/>
  <c r="E3166"/>
  <c r="B3166"/>
  <c r="E3165"/>
  <c r="B3165"/>
  <c r="E3164"/>
  <c r="B3164"/>
  <c r="E3163"/>
  <c r="B3163"/>
  <c r="E3162"/>
  <c r="B3162"/>
  <c r="E3161"/>
  <c r="B3161"/>
  <c r="E3160"/>
  <c r="B3160"/>
  <c r="E3159"/>
  <c r="B3159"/>
  <c r="E3158"/>
  <c r="B3158"/>
  <c r="E3157"/>
  <c r="B3157"/>
  <c r="E3156"/>
  <c r="B3156"/>
  <c r="E3155"/>
  <c r="B3155"/>
  <c r="E3154"/>
  <c r="B3154"/>
  <c r="E3153"/>
  <c r="B3153"/>
  <c r="E3152"/>
  <c r="B3152"/>
  <c r="E3151"/>
  <c r="B3151"/>
  <c r="E3150"/>
  <c r="B3150"/>
  <c r="E3149"/>
  <c r="B3149"/>
  <c r="E3148"/>
  <c r="B3148"/>
  <c r="E3147"/>
  <c r="B3147"/>
  <c r="E3146"/>
  <c r="B3146"/>
  <c r="E3145"/>
  <c r="B3145"/>
  <c r="E3144"/>
  <c r="B3144"/>
  <c r="E3143"/>
  <c r="B3143"/>
  <c r="E3142"/>
  <c r="B3142"/>
  <c r="E3141"/>
  <c r="B3141"/>
  <c r="E3140"/>
  <c r="B3140"/>
  <c r="E3139"/>
  <c r="B3139"/>
  <c r="E3138"/>
  <c r="B3138"/>
  <c r="E3137"/>
  <c r="B3137"/>
  <c r="E3136"/>
  <c r="B3136"/>
  <c r="E3135"/>
  <c r="B3135"/>
  <c r="E3134"/>
  <c r="B3134"/>
  <c r="E3133"/>
  <c r="B3133"/>
  <c r="E3132"/>
  <c r="B3132"/>
  <c r="E3131"/>
  <c r="B3131"/>
  <c r="E3130"/>
  <c r="B3130"/>
  <c r="E3129"/>
  <c r="B3129"/>
  <c r="E3128"/>
  <c r="B3128"/>
  <c r="E3127"/>
  <c r="B3127"/>
  <c r="E3126"/>
  <c r="B3126"/>
  <c r="E3125"/>
  <c r="B3125"/>
  <c r="E3124"/>
  <c r="B3124"/>
  <c r="E3123"/>
  <c r="B3123"/>
  <c r="E3122"/>
  <c r="B3122"/>
  <c r="E3121"/>
  <c r="B3121"/>
  <c r="E3120"/>
  <c r="B3120"/>
  <c r="E3119"/>
  <c r="B3119"/>
  <c r="E3118"/>
  <c r="B3118"/>
  <c r="E3117"/>
  <c r="B3117"/>
  <c r="E3116"/>
  <c r="B3116"/>
  <c r="E3115"/>
  <c r="B3115"/>
  <c r="E3114"/>
  <c r="B3114"/>
  <c r="E3113"/>
  <c r="B3113"/>
  <c r="E3112"/>
  <c r="B3112"/>
  <c r="E3111"/>
  <c r="B3111"/>
  <c r="E3110"/>
  <c r="B3110"/>
  <c r="E3109"/>
  <c r="B3109"/>
  <c r="E3108"/>
  <c r="B3108"/>
  <c r="E3107"/>
  <c r="B3107"/>
  <c r="E3106"/>
  <c r="B3106"/>
  <c r="E3105"/>
  <c r="B3105"/>
  <c r="E3104"/>
  <c r="B3104"/>
  <c r="E3103"/>
  <c r="B3103"/>
  <c r="E3102"/>
  <c r="B3102"/>
  <c r="E3101"/>
  <c r="B3101"/>
  <c r="E3100"/>
  <c r="B3100"/>
  <c r="E3099"/>
  <c r="B3099"/>
  <c r="E3098"/>
  <c r="B3098"/>
  <c r="E3097"/>
  <c r="B3097"/>
  <c r="E3096"/>
  <c r="B3096"/>
  <c r="E3095"/>
  <c r="B3095"/>
  <c r="E3094"/>
  <c r="B3094"/>
  <c r="E3093"/>
  <c r="B3093"/>
  <c r="E3092"/>
  <c r="B3092"/>
  <c r="E3091"/>
  <c r="B3091"/>
  <c r="E3090"/>
  <c r="B3090"/>
  <c r="E3089"/>
  <c r="B3089"/>
  <c r="E3088"/>
  <c r="B3088"/>
  <c r="E3087"/>
  <c r="B3087"/>
  <c r="E3086"/>
  <c r="B3086"/>
  <c r="E3085"/>
  <c r="B3085"/>
  <c r="E3084"/>
  <c r="B3084"/>
  <c r="E3083"/>
  <c r="B3083"/>
  <c r="E3082"/>
  <c r="B3082"/>
  <c r="E3081"/>
  <c r="B3081"/>
  <c r="E3080"/>
  <c r="B3080"/>
  <c r="E3079"/>
  <c r="B3079"/>
  <c r="E3078"/>
  <c r="B3078"/>
  <c r="E3077"/>
  <c r="B3077"/>
  <c r="E3076"/>
  <c r="B3076"/>
  <c r="E3075"/>
  <c r="B3075"/>
  <c r="E3074"/>
  <c r="B3074"/>
  <c r="E3073"/>
  <c r="B3073"/>
  <c r="E3072"/>
  <c r="B3072"/>
  <c r="E3071"/>
  <c r="B3071"/>
  <c r="E3070"/>
  <c r="B3070"/>
  <c r="E3069"/>
  <c r="B3069"/>
  <c r="E3068"/>
  <c r="B3068"/>
  <c r="E3067"/>
  <c r="B3067"/>
  <c r="E3066"/>
  <c r="B3066"/>
  <c r="E3065"/>
  <c r="B3065"/>
  <c r="E3064"/>
  <c r="B3064"/>
  <c r="E3063"/>
  <c r="B3063"/>
  <c r="E3062"/>
  <c r="B3062"/>
  <c r="E3061"/>
  <c r="B3061"/>
  <c r="E3060"/>
  <c r="B3060"/>
  <c r="E3059"/>
  <c r="B3059"/>
  <c r="E3058"/>
  <c r="B3058"/>
  <c r="E3057"/>
  <c r="B3057"/>
  <c r="E3056"/>
  <c r="B3056"/>
  <c r="E3055"/>
  <c r="B3055"/>
  <c r="E3054"/>
  <c r="B3054"/>
  <c r="E3053"/>
  <c r="B3053"/>
  <c r="E3052"/>
  <c r="B3052"/>
  <c r="E3051"/>
  <c r="B3051"/>
  <c r="E3050"/>
  <c r="B3050"/>
  <c r="E3049"/>
  <c r="B3049"/>
  <c r="E3048"/>
  <c r="B3048"/>
  <c r="E3047"/>
  <c r="B3047"/>
  <c r="E3046"/>
  <c r="B3046"/>
  <c r="E3045"/>
  <c r="B3045"/>
  <c r="E3044"/>
  <c r="B3044"/>
  <c r="E3043"/>
  <c r="B3043"/>
  <c r="E3042"/>
  <c r="B3042"/>
  <c r="E3041"/>
  <c r="B3041"/>
  <c r="E3040"/>
  <c r="B3040"/>
  <c r="E3039"/>
  <c r="B3039"/>
  <c r="E3038"/>
  <c r="B3038"/>
  <c r="E3037"/>
  <c r="B3037"/>
  <c r="E3036"/>
  <c r="B3036"/>
  <c r="E3035"/>
  <c r="B3035"/>
  <c r="E3034"/>
  <c r="B3034"/>
  <c r="E3033"/>
  <c r="B3033"/>
  <c r="E3032"/>
  <c r="B3032"/>
  <c r="E3031"/>
  <c r="B3031"/>
  <c r="E3030"/>
  <c r="B3030"/>
  <c r="E3029"/>
  <c r="B3029"/>
  <c r="E3028"/>
  <c r="B3028"/>
  <c r="E3027"/>
  <c r="B3027"/>
  <c r="E3026"/>
  <c r="B3026"/>
  <c r="E3025"/>
  <c r="B3025"/>
  <c r="E3024"/>
  <c r="B3024"/>
  <c r="E3023"/>
  <c r="B3023"/>
  <c r="E3022"/>
  <c r="B3022"/>
  <c r="E3021"/>
  <c r="B3021"/>
  <c r="E3020"/>
  <c r="B3020"/>
  <c r="E3019"/>
  <c r="B3019"/>
  <c r="E3018"/>
  <c r="B3018"/>
  <c r="E3017"/>
  <c r="B3017"/>
  <c r="E3016"/>
  <c r="B3016"/>
  <c r="E3015"/>
  <c r="B3015"/>
  <c r="E3014"/>
  <c r="B3014"/>
  <c r="E3013"/>
  <c r="B3013"/>
  <c r="E3012"/>
  <c r="B3012"/>
  <c r="E3011"/>
  <c r="B3011"/>
  <c r="E3010"/>
  <c r="B3010"/>
  <c r="E3009"/>
  <c r="B3009"/>
  <c r="E3008"/>
  <c r="B3008"/>
  <c r="E3007"/>
  <c r="B3007"/>
  <c r="E3006"/>
  <c r="B3006"/>
  <c r="E3005"/>
  <c r="B3005"/>
  <c r="E3004"/>
  <c r="B3004"/>
  <c r="E3003"/>
  <c r="B3003"/>
  <c r="E3002"/>
  <c r="B3002"/>
  <c r="E3001"/>
  <c r="B3001"/>
  <c r="E3000"/>
  <c r="B3000"/>
  <c r="E2999"/>
  <c r="B2999"/>
  <c r="E2998"/>
  <c r="B2998"/>
  <c r="E2997"/>
  <c r="B2997"/>
  <c r="E2996"/>
  <c r="B2996"/>
  <c r="E2995"/>
  <c r="B2995"/>
  <c r="E2994"/>
  <c r="B2994"/>
  <c r="E2993"/>
  <c r="B2993"/>
  <c r="E2992"/>
  <c r="B2992"/>
  <c r="E2991"/>
  <c r="B2991"/>
  <c r="E2990"/>
  <c r="B2990"/>
  <c r="E2989"/>
  <c r="B2989"/>
  <c r="E2988"/>
  <c r="B2988"/>
  <c r="E2987"/>
  <c r="B2987"/>
  <c r="E2986"/>
  <c r="B2986"/>
  <c r="E2985"/>
  <c r="B2985"/>
  <c r="E2984"/>
  <c r="B2984"/>
  <c r="E2983"/>
  <c r="B2983"/>
  <c r="E2982"/>
  <c r="B2982"/>
  <c r="E2981"/>
  <c r="B2981"/>
  <c r="E2980"/>
  <c r="B2980"/>
  <c r="E2979"/>
  <c r="B2979"/>
  <c r="E2978"/>
  <c r="B2978"/>
  <c r="E2977"/>
  <c r="B2977"/>
  <c r="E2976"/>
  <c r="B2976"/>
  <c r="E2975"/>
  <c r="B2975"/>
  <c r="E2974"/>
  <c r="B2974"/>
  <c r="E2973"/>
  <c r="B2973"/>
  <c r="E2972"/>
  <c r="B2972"/>
  <c r="E2971"/>
  <c r="B2971"/>
  <c r="E2970"/>
  <c r="B2970"/>
  <c r="E2969"/>
  <c r="B2969"/>
  <c r="E2968"/>
  <c r="B2968"/>
  <c r="E2967"/>
  <c r="B2967"/>
  <c r="E2966"/>
  <c r="B2966"/>
  <c r="E2965"/>
  <c r="B2965"/>
  <c r="E2964"/>
  <c r="B2964"/>
  <c r="E2963"/>
  <c r="B2963"/>
  <c r="E2962"/>
  <c r="B2962"/>
  <c r="E2961"/>
  <c r="B2961"/>
  <c r="E2960"/>
  <c r="B2960"/>
  <c r="E2959"/>
  <c r="B2959"/>
  <c r="E2958"/>
  <c r="B2958"/>
  <c r="E2957"/>
  <c r="B2957"/>
  <c r="E2956"/>
  <c r="B2956"/>
  <c r="E2955"/>
  <c r="B2955"/>
  <c r="E2954"/>
  <c r="B2954"/>
  <c r="E2953"/>
  <c r="B2953"/>
  <c r="E2952"/>
  <c r="B2952"/>
  <c r="E2951"/>
  <c r="B2951"/>
  <c r="E2950"/>
  <c r="B2950"/>
  <c r="E2949"/>
  <c r="B2949"/>
  <c r="E2948"/>
  <c r="B2948"/>
  <c r="E2947"/>
  <c r="B2947"/>
  <c r="E2946"/>
  <c r="B2946"/>
  <c r="E2945"/>
  <c r="B2945"/>
  <c r="E2944"/>
  <c r="B2944"/>
  <c r="E2943"/>
  <c r="B2943"/>
  <c r="E2942"/>
  <c r="B2942"/>
  <c r="E2941"/>
  <c r="B2941"/>
  <c r="E2940"/>
  <c r="B2940"/>
  <c r="E2939"/>
  <c r="B2939"/>
  <c r="E2938"/>
  <c r="B2938"/>
  <c r="E2937"/>
  <c r="B2937"/>
  <c r="E2936"/>
  <c r="B2936"/>
  <c r="E2935"/>
  <c r="B2935"/>
  <c r="E2934"/>
  <c r="B2934"/>
  <c r="E2933"/>
  <c r="B2933"/>
  <c r="E2932"/>
  <c r="B2932"/>
  <c r="E2931"/>
  <c r="B2931"/>
  <c r="E2930"/>
  <c r="B2930"/>
  <c r="E2929"/>
  <c r="B2929"/>
  <c r="E2928"/>
  <c r="B2928"/>
  <c r="E2927"/>
  <c r="B2927"/>
  <c r="E2926"/>
  <c r="B2926"/>
  <c r="E2925"/>
  <c r="B2925"/>
  <c r="E2924"/>
  <c r="B2924"/>
  <c r="E2923"/>
  <c r="B2923"/>
  <c r="E2922"/>
  <c r="B2922"/>
  <c r="E2921"/>
  <c r="B2921"/>
  <c r="E2920"/>
  <c r="B2920"/>
  <c r="E2919"/>
  <c r="B2919"/>
  <c r="E2918"/>
  <c r="B2918"/>
  <c r="E2917"/>
  <c r="B2917"/>
  <c r="E2916"/>
  <c r="B2916"/>
  <c r="E2915"/>
  <c r="B2915"/>
  <c r="E2914"/>
  <c r="B2914"/>
  <c r="E2913"/>
  <c r="B2913"/>
  <c r="E2912"/>
  <c r="B2912"/>
  <c r="E2911"/>
  <c r="B2911"/>
  <c r="E2910"/>
  <c r="B2910"/>
  <c r="E2909"/>
  <c r="B2909"/>
  <c r="E2908"/>
  <c r="B2908"/>
  <c r="E2907"/>
  <c r="B2907"/>
  <c r="E2906"/>
  <c r="B2906"/>
  <c r="E2905"/>
  <c r="B2905"/>
  <c r="E2904"/>
  <c r="B2904"/>
  <c r="E2903"/>
  <c r="B2903"/>
  <c r="E2902"/>
  <c r="B2902"/>
  <c r="E2901"/>
  <c r="B2901"/>
  <c r="E2900"/>
  <c r="B2900"/>
  <c r="E2899"/>
  <c r="B2899"/>
  <c r="E2898"/>
  <c r="B2898"/>
  <c r="E2897"/>
  <c r="B2897"/>
  <c r="E2896"/>
  <c r="B2896"/>
  <c r="E2895"/>
  <c r="B2895"/>
  <c r="E2894"/>
  <c r="B2894"/>
  <c r="E2893"/>
  <c r="B2893"/>
  <c r="E2892"/>
  <c r="B2892"/>
  <c r="E2891"/>
  <c r="B2891"/>
  <c r="E2890"/>
  <c r="B2890"/>
  <c r="E2889"/>
  <c r="B2889"/>
  <c r="E2888"/>
  <c r="B2888"/>
  <c r="E2887"/>
  <c r="B2887"/>
  <c r="E2886"/>
  <c r="B2886"/>
  <c r="E2885"/>
  <c r="B2885"/>
  <c r="E2884"/>
  <c r="B2884"/>
  <c r="E2883"/>
  <c r="B2883"/>
  <c r="E2882"/>
  <c r="B2882"/>
  <c r="E2881"/>
  <c r="B2881"/>
  <c r="E2880"/>
  <c r="B2880"/>
  <c r="E2879"/>
  <c r="B2879"/>
  <c r="E2878"/>
  <c r="B2878"/>
  <c r="E2877"/>
  <c r="B2877"/>
  <c r="E2876"/>
  <c r="B2876"/>
  <c r="E2875"/>
  <c r="B2875"/>
  <c r="E2874"/>
  <c r="B2874"/>
  <c r="E2873"/>
  <c r="B2873"/>
  <c r="E2872"/>
  <c r="B2872"/>
  <c r="E2871"/>
  <c r="B2871"/>
  <c r="E2870"/>
  <c r="B2870"/>
  <c r="E2869"/>
  <c r="B2869"/>
  <c r="E2868"/>
  <c r="B2868"/>
  <c r="E2867"/>
  <c r="B2867"/>
  <c r="E2866"/>
  <c r="B2866"/>
  <c r="E2865"/>
  <c r="B2865"/>
  <c r="E2864"/>
  <c r="B2864"/>
  <c r="E2863"/>
  <c r="B2863"/>
  <c r="E2862"/>
  <c r="B2862"/>
  <c r="E2861"/>
  <c r="B2861"/>
  <c r="E2860"/>
  <c r="B2860"/>
  <c r="E2859"/>
  <c r="B2859"/>
  <c r="E2858"/>
  <c r="B2858"/>
  <c r="E2857"/>
  <c r="B2857"/>
  <c r="E2856"/>
  <c r="B2856"/>
  <c r="E2855"/>
  <c r="B2855"/>
  <c r="E2854"/>
  <c r="B2854"/>
  <c r="E2853"/>
  <c r="B2853"/>
  <c r="E2852"/>
  <c r="B2852"/>
  <c r="E2851"/>
  <c r="B2851"/>
  <c r="E2850"/>
  <c r="B2850"/>
  <c r="E2849"/>
  <c r="B2849"/>
  <c r="E2848"/>
  <c r="B2848"/>
  <c r="E2847"/>
  <c r="B2847"/>
  <c r="E2846"/>
  <c r="B2846"/>
  <c r="E2845"/>
  <c r="B2845"/>
  <c r="E2844"/>
  <c r="B2844"/>
  <c r="E2843"/>
  <c r="B2843"/>
  <c r="E2842"/>
  <c r="B2842"/>
  <c r="E2841"/>
  <c r="B2841"/>
  <c r="E2840"/>
  <c r="B2840"/>
  <c r="E2839"/>
  <c r="B2839"/>
  <c r="E2838"/>
  <c r="B2838"/>
  <c r="E2837"/>
  <c r="B2837"/>
  <c r="E2836"/>
  <c r="B2836"/>
  <c r="E2835"/>
  <c r="B2835"/>
  <c r="E2834"/>
  <c r="B2834"/>
  <c r="E2833"/>
  <c r="B2833"/>
  <c r="E2832"/>
  <c r="B2832"/>
  <c r="E2831"/>
  <c r="B2831"/>
  <c r="E2830"/>
  <c r="B2830"/>
  <c r="E2829"/>
  <c r="B2829"/>
  <c r="E2828"/>
  <c r="B2828"/>
  <c r="E2827"/>
  <c r="B2827"/>
  <c r="E2826"/>
  <c r="B2826"/>
  <c r="E2825"/>
  <c r="B2825"/>
  <c r="E2824"/>
  <c r="B2824"/>
  <c r="E2823"/>
  <c r="B2823"/>
  <c r="E2822"/>
  <c r="B2822"/>
  <c r="E2821"/>
  <c r="B2821"/>
  <c r="E2820"/>
  <c r="B2820"/>
  <c r="E2819"/>
  <c r="B2819"/>
  <c r="E2818"/>
  <c r="B2818"/>
  <c r="E2817"/>
  <c r="B2817"/>
  <c r="E2816"/>
  <c r="B2816"/>
  <c r="E2815"/>
  <c r="B2815"/>
  <c r="E2814"/>
  <c r="B2814"/>
  <c r="E2813"/>
  <c r="B2813"/>
  <c r="E2812"/>
  <c r="B2812"/>
  <c r="E2811"/>
  <c r="B2811"/>
  <c r="E2810"/>
  <c r="B2810"/>
  <c r="E2809"/>
  <c r="B2809"/>
  <c r="E2808"/>
  <c r="B2808"/>
  <c r="E2807"/>
  <c r="B2807"/>
  <c r="E2806"/>
  <c r="B2806"/>
  <c r="E2805"/>
  <c r="B2805"/>
  <c r="E2804"/>
  <c r="B2804"/>
  <c r="E2803"/>
  <c r="B2803"/>
  <c r="E2802"/>
  <c r="B2802"/>
  <c r="E2801"/>
  <c r="B2801"/>
  <c r="E2800"/>
  <c r="B2800"/>
  <c r="E2799"/>
  <c r="B2799"/>
  <c r="E2798"/>
  <c r="B2798"/>
  <c r="E2797"/>
  <c r="B2797"/>
  <c r="E2796"/>
  <c r="B2796"/>
  <c r="E2795"/>
  <c r="B2795"/>
  <c r="E2794"/>
  <c r="B2794"/>
  <c r="E2793"/>
  <c r="B2793"/>
  <c r="E2792"/>
  <c r="B2792"/>
  <c r="E2791"/>
  <c r="B2791"/>
  <c r="E2790"/>
  <c r="B2790"/>
  <c r="E2789"/>
  <c r="B2789"/>
  <c r="E2788"/>
  <c r="B2788"/>
  <c r="E2787"/>
  <c r="B2787"/>
  <c r="E2786"/>
  <c r="B2786"/>
  <c r="E2785"/>
  <c r="B2785"/>
  <c r="E2784"/>
  <c r="B2784"/>
  <c r="E2783"/>
  <c r="B2783"/>
  <c r="E2782"/>
  <c r="B2782"/>
  <c r="E2781"/>
  <c r="B2781"/>
  <c r="E2780"/>
  <c r="B2780"/>
  <c r="E2779"/>
  <c r="B2779"/>
  <c r="E2778"/>
  <c r="B2778"/>
  <c r="E2777"/>
  <c r="B2777"/>
  <c r="E2776"/>
  <c r="B2776"/>
  <c r="E2775"/>
  <c r="B2775"/>
  <c r="E2774"/>
  <c r="B2774"/>
  <c r="E2773"/>
  <c r="B2773"/>
  <c r="E2772"/>
  <c r="B2772"/>
  <c r="E2771"/>
  <c r="B2771"/>
  <c r="E2770"/>
  <c r="B2770"/>
  <c r="E2769"/>
  <c r="B2769"/>
  <c r="E2768"/>
  <c r="B2768"/>
  <c r="E2767"/>
  <c r="B2767"/>
  <c r="E2766"/>
  <c r="B2766"/>
  <c r="E2765"/>
  <c r="B2765"/>
  <c r="E2764"/>
  <c r="B2764"/>
  <c r="E2763"/>
  <c r="B2763"/>
  <c r="E2762"/>
  <c r="B2762"/>
  <c r="E2761"/>
  <c r="B2761"/>
  <c r="E2760"/>
  <c r="B2760"/>
  <c r="E2759"/>
  <c r="B2759"/>
  <c r="E2758"/>
  <c r="B2758"/>
  <c r="E2757"/>
  <c r="B2757"/>
  <c r="E2756"/>
  <c r="B2756"/>
  <c r="E2755"/>
  <c r="B2755"/>
  <c r="E2754"/>
  <c r="B2754"/>
  <c r="E2753"/>
  <c r="B2753"/>
  <c r="E2752"/>
  <c r="B2752"/>
  <c r="E2751"/>
  <c r="B2751"/>
  <c r="E2750"/>
  <c r="B2750"/>
  <c r="E2749"/>
  <c r="B2749"/>
  <c r="E2748"/>
  <c r="B2748"/>
  <c r="E2747"/>
  <c r="B2747"/>
  <c r="E2746"/>
  <c r="B2746"/>
  <c r="E2745"/>
  <c r="B2745"/>
  <c r="E2744"/>
  <c r="B2744"/>
  <c r="E2743"/>
  <c r="B2743"/>
  <c r="E2742"/>
  <c r="B2742"/>
  <c r="E2741"/>
  <c r="B2741"/>
  <c r="E2740"/>
  <c r="B2740"/>
  <c r="E2739"/>
  <c r="B2739"/>
  <c r="E2738"/>
  <c r="B2738"/>
  <c r="E2737"/>
  <c r="B2737"/>
  <c r="E2736"/>
  <c r="B2736"/>
  <c r="E2735"/>
  <c r="B2735"/>
  <c r="E2734"/>
  <c r="B2734"/>
  <c r="E2733"/>
  <c r="B2733"/>
  <c r="E2732"/>
  <c r="B2732"/>
  <c r="E2731"/>
  <c r="B2731"/>
  <c r="E2730"/>
  <c r="B2730"/>
  <c r="E2729"/>
  <c r="B2729"/>
  <c r="E2728"/>
  <c r="B2728"/>
  <c r="E2727"/>
  <c r="B2727"/>
  <c r="E2726"/>
  <c r="B2726"/>
  <c r="E2725"/>
  <c r="B2725"/>
  <c r="E2724"/>
  <c r="B2724"/>
  <c r="E2723"/>
  <c r="B2723"/>
  <c r="E2722"/>
  <c r="B2722"/>
  <c r="E2721"/>
  <c r="B2721"/>
  <c r="E2720"/>
  <c r="B2720"/>
  <c r="E2719"/>
  <c r="B2719"/>
  <c r="E2718"/>
  <c r="B2718"/>
  <c r="E2717"/>
  <c r="B2717"/>
  <c r="E2716"/>
  <c r="B2716"/>
  <c r="E2715"/>
  <c r="B2715"/>
  <c r="E2714"/>
  <c r="B2714"/>
  <c r="E2713"/>
  <c r="B2713"/>
  <c r="E2712"/>
  <c r="B2712"/>
  <c r="E2711"/>
  <c r="B2711"/>
  <c r="E2710"/>
  <c r="B2710"/>
  <c r="E2709"/>
  <c r="B2709"/>
  <c r="E2708"/>
  <c r="B2708"/>
  <c r="E2707"/>
  <c r="B2707"/>
  <c r="E2706"/>
  <c r="B2706"/>
  <c r="E2705"/>
  <c r="B2705"/>
  <c r="E2704"/>
  <c r="B2704"/>
  <c r="E2703"/>
  <c r="B2703"/>
  <c r="E2702"/>
  <c r="B2702"/>
  <c r="E2701"/>
  <c r="B2701"/>
  <c r="E2700"/>
  <c r="B2700"/>
  <c r="E2699"/>
  <c r="B2699"/>
  <c r="E2698"/>
  <c r="B2698"/>
  <c r="E2697"/>
  <c r="B2697"/>
  <c r="E2696"/>
  <c r="B2696"/>
  <c r="E2695"/>
  <c r="B2695"/>
  <c r="E2694"/>
  <c r="B2694"/>
  <c r="E2693"/>
  <c r="B2693"/>
  <c r="E2692"/>
  <c r="B2692"/>
  <c r="E2691"/>
  <c r="B2691"/>
  <c r="E2690"/>
  <c r="B2690"/>
  <c r="E2689"/>
  <c r="B2689"/>
  <c r="E2688"/>
  <c r="B2688"/>
  <c r="E2687"/>
  <c r="B2687"/>
  <c r="E2686"/>
  <c r="B2686"/>
  <c r="E2685"/>
  <c r="B2685"/>
  <c r="E2684"/>
  <c r="B2684"/>
  <c r="E2683"/>
  <c r="B2683"/>
  <c r="E2682"/>
  <c r="B2682"/>
  <c r="E2681"/>
  <c r="B2681"/>
  <c r="E2680"/>
  <c r="B2680"/>
  <c r="E2679"/>
  <c r="B2679"/>
  <c r="E2678"/>
  <c r="B2678"/>
  <c r="E2677"/>
  <c r="B2677"/>
  <c r="E2676"/>
  <c r="B2676"/>
  <c r="E2675"/>
  <c r="B2675"/>
  <c r="E2674"/>
  <c r="B2674"/>
  <c r="E2673"/>
  <c r="B2673"/>
  <c r="E2672"/>
  <c r="B2672"/>
  <c r="E2671"/>
  <c r="B2671"/>
  <c r="E2670"/>
  <c r="B2670"/>
  <c r="E2669"/>
  <c r="B2669"/>
  <c r="E2668"/>
  <c r="B2668"/>
  <c r="E2667"/>
  <c r="B2667"/>
  <c r="E2666"/>
  <c r="B2666"/>
  <c r="E2665"/>
  <c r="B2665"/>
  <c r="E2664"/>
  <c r="B2664"/>
  <c r="E2663"/>
  <c r="B2663"/>
  <c r="E2662"/>
  <c r="B2662"/>
  <c r="E2661"/>
  <c r="B2661"/>
  <c r="E2660"/>
  <c r="B2660"/>
  <c r="E2659"/>
  <c r="B2659"/>
  <c r="E2658"/>
  <c r="B2658"/>
  <c r="E2657"/>
  <c r="B2657"/>
  <c r="E2656"/>
  <c r="B2656"/>
  <c r="E2655"/>
  <c r="B2655"/>
  <c r="E2654"/>
  <c r="B2654"/>
  <c r="E2653"/>
  <c r="B2653"/>
  <c r="E2652"/>
  <c r="B2652"/>
  <c r="E2651"/>
  <c r="B2651"/>
  <c r="E2650"/>
  <c r="B2650"/>
  <c r="E2649"/>
  <c r="B2649"/>
  <c r="E2648"/>
  <c r="B2648"/>
  <c r="E2647"/>
  <c r="B2647"/>
  <c r="E2646"/>
  <c r="B2646"/>
  <c r="E2645"/>
  <c r="B2645"/>
  <c r="E2644"/>
  <c r="B2644"/>
  <c r="E2643"/>
  <c r="B2643"/>
  <c r="E2642"/>
  <c r="B2642"/>
  <c r="E2641"/>
  <c r="B2641"/>
  <c r="E2640"/>
  <c r="B2640"/>
  <c r="E2639"/>
  <c r="B2639"/>
  <c r="E2638"/>
  <c r="B2638"/>
  <c r="E2637"/>
  <c r="B2637"/>
  <c r="E2636"/>
  <c r="B2636"/>
  <c r="E2635"/>
  <c r="B2635"/>
  <c r="E2634"/>
  <c r="B2634"/>
  <c r="E2633"/>
  <c r="B2633"/>
  <c r="E2632"/>
  <c r="B2632"/>
  <c r="E2631"/>
  <c r="B2631"/>
  <c r="E2630"/>
  <c r="B2630"/>
  <c r="E2629"/>
  <c r="B2629"/>
  <c r="E2628"/>
  <c r="B2628"/>
  <c r="E2627"/>
  <c r="B2627"/>
  <c r="E2626"/>
  <c r="B2626"/>
  <c r="E2625"/>
  <c r="B2625"/>
  <c r="E2624"/>
  <c r="B2624"/>
  <c r="E2623"/>
  <c r="B2623"/>
  <c r="E2622"/>
  <c r="B2622"/>
  <c r="E2621"/>
  <c r="B2621"/>
  <c r="E2620"/>
  <c r="B2620"/>
  <c r="E2619"/>
  <c r="B2619"/>
  <c r="E2618"/>
  <c r="B2618"/>
  <c r="E2617"/>
  <c r="B2617"/>
  <c r="E2616"/>
  <c r="B2616"/>
  <c r="E2615"/>
  <c r="B2615"/>
  <c r="E2614"/>
  <c r="B2614"/>
  <c r="E2613"/>
  <c r="B2613"/>
  <c r="E2612"/>
  <c r="B2612"/>
  <c r="E2611"/>
  <c r="B2611"/>
  <c r="E2610"/>
  <c r="B2610"/>
  <c r="E2609"/>
  <c r="B2609"/>
  <c r="E2608"/>
  <c r="B2608"/>
  <c r="E2607"/>
  <c r="B2607"/>
  <c r="E2606"/>
  <c r="B2606"/>
  <c r="E2605"/>
  <c r="B2605"/>
  <c r="E2604"/>
  <c r="B2604"/>
  <c r="E2603"/>
  <c r="B2603"/>
  <c r="E2602"/>
  <c r="B2602"/>
  <c r="E2601"/>
  <c r="B2601"/>
  <c r="E2600"/>
  <c r="B2600"/>
  <c r="E2599"/>
  <c r="B2599"/>
  <c r="E2598"/>
  <c r="B2598"/>
  <c r="E2597"/>
  <c r="B2597"/>
  <c r="E2596"/>
  <c r="B2596"/>
  <c r="E2595"/>
  <c r="B2595"/>
  <c r="E2594"/>
  <c r="B2594"/>
  <c r="E2593"/>
  <c r="B2593"/>
  <c r="E2592"/>
  <c r="B2592"/>
  <c r="E2591"/>
  <c r="B2591"/>
  <c r="E2590"/>
  <c r="B2590"/>
  <c r="E2589"/>
  <c r="B2589"/>
  <c r="E2588"/>
  <c r="B2588"/>
  <c r="E2587"/>
  <c r="B2587"/>
  <c r="E2586"/>
  <c r="B2586"/>
  <c r="E2585"/>
  <c r="B2585"/>
  <c r="E2584"/>
  <c r="B2584"/>
  <c r="E2583"/>
  <c r="B2583"/>
  <c r="E2582"/>
  <c r="B2582"/>
  <c r="E2581"/>
  <c r="B2581"/>
  <c r="E2580"/>
  <c r="B2580"/>
  <c r="E2579"/>
  <c r="B2579"/>
  <c r="E2578"/>
  <c r="B2578"/>
  <c r="E2577"/>
  <c r="B2577"/>
  <c r="E2576"/>
  <c r="B2576"/>
  <c r="E2575"/>
  <c r="B2575"/>
  <c r="E2574"/>
  <c r="B2574"/>
  <c r="E2573"/>
  <c r="B2573"/>
  <c r="E2572"/>
  <c r="B2572"/>
  <c r="E2571"/>
  <c r="B2571"/>
  <c r="E2570"/>
  <c r="B2570"/>
  <c r="E2569"/>
  <c r="B2569"/>
  <c r="E2568"/>
  <c r="B2568"/>
  <c r="E2567"/>
  <c r="B2567"/>
  <c r="E2566"/>
  <c r="B2566"/>
  <c r="E2565"/>
  <c r="B2565"/>
  <c r="E2564"/>
  <c r="B2564"/>
  <c r="E2563"/>
  <c r="B2563"/>
  <c r="E2562"/>
  <c r="B2562"/>
  <c r="E2561"/>
  <c r="B2561"/>
  <c r="E2560"/>
  <c r="B2560"/>
  <c r="E2559"/>
  <c r="B2559"/>
  <c r="E2558"/>
  <c r="B2558"/>
  <c r="E2557"/>
  <c r="B2557"/>
  <c r="E2556"/>
  <c r="B2556"/>
  <c r="E2555"/>
  <c r="B2555"/>
  <c r="E2554"/>
  <c r="B2554"/>
  <c r="E2553"/>
  <c r="B2553"/>
  <c r="E2552"/>
  <c r="B2552"/>
  <c r="E2551"/>
  <c r="B2551"/>
  <c r="E2550"/>
  <c r="B2550"/>
  <c r="E2549"/>
  <c r="B2549"/>
  <c r="E2548"/>
  <c r="B2548"/>
  <c r="E2547"/>
  <c r="B2547"/>
  <c r="E2546"/>
  <c r="B2546"/>
  <c r="E2545"/>
  <c r="B2545"/>
  <c r="E2544"/>
  <c r="B2544"/>
  <c r="E2543"/>
  <c r="B2543"/>
  <c r="E2542"/>
  <c r="B2542"/>
  <c r="E2541"/>
  <c r="B2541"/>
  <c r="E2540"/>
  <c r="B2540"/>
  <c r="E2539"/>
  <c r="B2539"/>
  <c r="E2538"/>
  <c r="B2538"/>
  <c r="E2537"/>
  <c r="B2537"/>
  <c r="E2536"/>
  <c r="B2536"/>
  <c r="E2535"/>
  <c r="B2535"/>
  <c r="E2534"/>
  <c r="B2534"/>
  <c r="E2533"/>
  <c r="B2533"/>
  <c r="E2532"/>
  <c r="B2532"/>
  <c r="E2531"/>
  <c r="B2531"/>
  <c r="E2530"/>
  <c r="B2530"/>
  <c r="E2529"/>
  <c r="B2529"/>
  <c r="E2528"/>
  <c r="B2528"/>
  <c r="E2527"/>
  <c r="B2527"/>
  <c r="E2526"/>
  <c r="B2526"/>
  <c r="E2525"/>
  <c r="B2525"/>
  <c r="E2524"/>
  <c r="B2524"/>
  <c r="E2523"/>
  <c r="B2523"/>
  <c r="E2522"/>
  <c r="B2522"/>
  <c r="E2521"/>
  <c r="B2521"/>
  <c r="E2520"/>
  <c r="B2520"/>
  <c r="E2519"/>
  <c r="B2519"/>
  <c r="E2518"/>
  <c r="B2518"/>
  <c r="E2517"/>
  <c r="B2517"/>
  <c r="E2516"/>
  <c r="B2516"/>
  <c r="E2515"/>
  <c r="B2515"/>
  <c r="E2514"/>
  <c r="B2514"/>
  <c r="E2513"/>
  <c r="B2513"/>
  <c r="E2512"/>
  <c r="B2512"/>
  <c r="E2511"/>
  <c r="B2511"/>
  <c r="E2510"/>
  <c r="B2510"/>
  <c r="E2509"/>
  <c r="B2509"/>
  <c r="E2508"/>
  <c r="B2508"/>
  <c r="E2507"/>
  <c r="B2507"/>
  <c r="E2506"/>
  <c r="B2506"/>
  <c r="E2505"/>
  <c r="B2505"/>
  <c r="E2504"/>
  <c r="B2504"/>
  <c r="E2503"/>
  <c r="B2503"/>
  <c r="E2502"/>
  <c r="B2502"/>
  <c r="E2501"/>
  <c r="B2501"/>
  <c r="E2500"/>
  <c r="B2500"/>
  <c r="E2499"/>
  <c r="B2499"/>
  <c r="E2498"/>
  <c r="B2498"/>
  <c r="E2497"/>
  <c r="B2497"/>
  <c r="E2496"/>
  <c r="B2496"/>
  <c r="E2495"/>
  <c r="B2495"/>
  <c r="E2494"/>
  <c r="B2494"/>
  <c r="E2493"/>
  <c r="B2493"/>
  <c r="E2492"/>
  <c r="B2492"/>
  <c r="E2491"/>
  <c r="B2491"/>
  <c r="E2490"/>
  <c r="B2490"/>
  <c r="E2489"/>
  <c r="B2489"/>
  <c r="E2488"/>
  <c r="B2488"/>
  <c r="E2487"/>
  <c r="B2487"/>
  <c r="E2486"/>
  <c r="B2486"/>
  <c r="E2485"/>
  <c r="B2485"/>
  <c r="E2484"/>
  <c r="B2484"/>
  <c r="E2483"/>
  <c r="B2483"/>
  <c r="E2482"/>
  <c r="B2482"/>
  <c r="E2481"/>
  <c r="B2481"/>
  <c r="E2480"/>
  <c r="B2480"/>
  <c r="E2479"/>
  <c r="B2479"/>
  <c r="E2478"/>
  <c r="B2478"/>
  <c r="E2477"/>
  <c r="B2477"/>
  <c r="E2476"/>
  <c r="B2476"/>
  <c r="E2475"/>
  <c r="B2475"/>
  <c r="E2474"/>
  <c r="B2474"/>
  <c r="E2473"/>
  <c r="B2473"/>
  <c r="E2472"/>
  <c r="B2472"/>
  <c r="E2471"/>
  <c r="B2471"/>
  <c r="E2470"/>
  <c r="B2470"/>
  <c r="E2469"/>
  <c r="B2469"/>
  <c r="E2468"/>
  <c r="B2468"/>
  <c r="E2467"/>
  <c r="B2467"/>
  <c r="E2466"/>
  <c r="B2466"/>
  <c r="E2465"/>
  <c r="B2465"/>
  <c r="E2464"/>
  <c r="B2464"/>
  <c r="E2463"/>
  <c r="B2463"/>
  <c r="E2462"/>
  <c r="B2462"/>
  <c r="E2461"/>
  <c r="B2461"/>
  <c r="E2460"/>
  <c r="B2460"/>
  <c r="E2459"/>
  <c r="B2459"/>
  <c r="E2458"/>
  <c r="B2458"/>
  <c r="E2457"/>
  <c r="B2457"/>
  <c r="E2456"/>
  <c r="B2456"/>
  <c r="E2455"/>
  <c r="B2455"/>
  <c r="E2454"/>
  <c r="B2454"/>
  <c r="E2453"/>
  <c r="B2453"/>
  <c r="E2452"/>
  <c r="B2452"/>
  <c r="E2451"/>
  <c r="B2451"/>
  <c r="E2450"/>
  <c r="B2450"/>
  <c r="E2449"/>
  <c r="B2449"/>
  <c r="E2448"/>
  <c r="B2448"/>
  <c r="E2447"/>
  <c r="B2447"/>
  <c r="E2446"/>
  <c r="B2446"/>
  <c r="E2445"/>
  <c r="B2445"/>
  <c r="E2444"/>
  <c r="B2444"/>
  <c r="E2443"/>
  <c r="B2443"/>
  <c r="E2442"/>
  <c r="B2442"/>
  <c r="E2441"/>
  <c r="B2441"/>
  <c r="E2440"/>
  <c r="B2440"/>
  <c r="E2439"/>
  <c r="B2439"/>
  <c r="E2438"/>
  <c r="B2438"/>
  <c r="E2437"/>
  <c r="B2437"/>
  <c r="E2436"/>
  <c r="B2436"/>
  <c r="E2435"/>
  <c r="B2435"/>
  <c r="E2434"/>
  <c r="B2434"/>
  <c r="E2433"/>
  <c r="B2433"/>
  <c r="E2432"/>
  <c r="B2432"/>
  <c r="E2431"/>
  <c r="B2431"/>
  <c r="E2430"/>
  <c r="B2430"/>
  <c r="E2429"/>
  <c r="B2429"/>
  <c r="E2428"/>
  <c r="B2428"/>
  <c r="E2427"/>
  <c r="B2427"/>
  <c r="E2426"/>
  <c r="B2426"/>
  <c r="E2425"/>
  <c r="B2425"/>
  <c r="E2424"/>
  <c r="B2424"/>
  <c r="E2423"/>
  <c r="B2423"/>
  <c r="E2422"/>
  <c r="B2422"/>
  <c r="E2421"/>
  <c r="B2421"/>
  <c r="E2420"/>
  <c r="B2420"/>
  <c r="E2419"/>
  <c r="B2419"/>
  <c r="E2418"/>
  <c r="B2418"/>
  <c r="E2417"/>
  <c r="B2417"/>
  <c r="E2416"/>
  <c r="B2416"/>
  <c r="E2415"/>
  <c r="B2415"/>
  <c r="E2414"/>
  <c r="B2414"/>
  <c r="E2413"/>
  <c r="B2413"/>
  <c r="E2412"/>
  <c r="B2412"/>
  <c r="E2411"/>
  <c r="B2411"/>
  <c r="E2410"/>
  <c r="B2410"/>
  <c r="E2409"/>
  <c r="B2409"/>
  <c r="E2408"/>
  <c r="B2408"/>
  <c r="E2407"/>
  <c r="B2407"/>
  <c r="E2406"/>
  <c r="B2406"/>
  <c r="E2405"/>
  <c r="B2405"/>
  <c r="E2404"/>
  <c r="B2404"/>
  <c r="E2403"/>
  <c r="B2403"/>
  <c r="E2402"/>
  <c r="B2402"/>
  <c r="E2401"/>
  <c r="B2401"/>
  <c r="E2400"/>
  <c r="B2400"/>
  <c r="E2399"/>
  <c r="B2399"/>
  <c r="E2398"/>
  <c r="B2398"/>
  <c r="E2397"/>
  <c r="B2397"/>
  <c r="E2396"/>
  <c r="B2396"/>
  <c r="E2395"/>
  <c r="B2395"/>
  <c r="E2394"/>
  <c r="B2394"/>
  <c r="E2393"/>
  <c r="B2393"/>
  <c r="E2392"/>
  <c r="B2392"/>
  <c r="E2391"/>
  <c r="B2391"/>
  <c r="E2390"/>
  <c r="B2390"/>
  <c r="E2389"/>
  <c r="B2389"/>
  <c r="E2388"/>
  <c r="B2388"/>
  <c r="E2387"/>
  <c r="B2387"/>
  <c r="E2386"/>
  <c r="B2386"/>
  <c r="E2385"/>
  <c r="B2385"/>
  <c r="E2384"/>
  <c r="B2384"/>
  <c r="E2383"/>
  <c r="B2383"/>
  <c r="E2382"/>
  <c r="B2382"/>
  <c r="E2381"/>
  <c r="B2381"/>
  <c r="E2380"/>
  <c r="B2380"/>
  <c r="E2379"/>
  <c r="B2379"/>
  <c r="E2378"/>
  <c r="B2378"/>
  <c r="E2377"/>
  <c r="B2377"/>
  <c r="E2376"/>
  <c r="B2376"/>
  <c r="E2375"/>
  <c r="B2375"/>
  <c r="E2374"/>
  <c r="B2374"/>
  <c r="E2373"/>
  <c r="B2373"/>
  <c r="E2372"/>
  <c r="B2372"/>
  <c r="E2371"/>
  <c r="B2371"/>
  <c r="E2370"/>
  <c r="B2370"/>
  <c r="E2369"/>
  <c r="B2369"/>
  <c r="E2368"/>
  <c r="B2368"/>
  <c r="E2367"/>
  <c r="B2367"/>
  <c r="E2366"/>
  <c r="B2366"/>
  <c r="E2365"/>
  <c r="B2365"/>
  <c r="E2364"/>
  <c r="B2364"/>
  <c r="E2363"/>
  <c r="B2363"/>
  <c r="E2362"/>
  <c r="B2362"/>
  <c r="E2361"/>
  <c r="B2361"/>
  <c r="E2360"/>
  <c r="B2360"/>
  <c r="E2359"/>
  <c r="B2359"/>
  <c r="E2358"/>
  <c r="B2358"/>
  <c r="E2357"/>
  <c r="B2357"/>
  <c r="E2356"/>
  <c r="B2356"/>
  <c r="E2355"/>
  <c r="B2355"/>
  <c r="E2354"/>
  <c r="B2354"/>
  <c r="E2353"/>
  <c r="B2353"/>
  <c r="E2352"/>
  <c r="B2352"/>
  <c r="E2351"/>
  <c r="B2351"/>
  <c r="E2350"/>
  <c r="B2350"/>
  <c r="E2349"/>
  <c r="B2349"/>
  <c r="E2348"/>
  <c r="B2348"/>
  <c r="E2347"/>
  <c r="B2347"/>
  <c r="E2346"/>
  <c r="B2346"/>
  <c r="E2345"/>
  <c r="B2345"/>
  <c r="E2344"/>
  <c r="B2344"/>
  <c r="E2343"/>
  <c r="B2343"/>
  <c r="E2342"/>
  <c r="B2342"/>
  <c r="E2341"/>
  <c r="B2341"/>
  <c r="E2340"/>
  <c r="B2340"/>
  <c r="E2339"/>
  <c r="B2339"/>
  <c r="E2338"/>
  <c r="B2338"/>
  <c r="E2337"/>
  <c r="B2337"/>
  <c r="E2336"/>
  <c r="B2336"/>
  <c r="E2335"/>
  <c r="B2335"/>
  <c r="E2334"/>
  <c r="B2334"/>
  <c r="E2333"/>
  <c r="B2333"/>
  <c r="E2332"/>
  <c r="B2332"/>
  <c r="E2331"/>
  <c r="B2331"/>
  <c r="E2330"/>
  <c r="B2330"/>
  <c r="E2329"/>
  <c r="B2329"/>
  <c r="E2328"/>
  <c r="B2328"/>
  <c r="E2327"/>
  <c r="B2327"/>
  <c r="E2326"/>
  <c r="B2326"/>
  <c r="E2325"/>
  <c r="B2325"/>
  <c r="E2324"/>
  <c r="B2324"/>
  <c r="E2323"/>
  <c r="B2323"/>
  <c r="E2322"/>
  <c r="B2322"/>
  <c r="E2321"/>
  <c r="B2321"/>
  <c r="E2320"/>
  <c r="B2320"/>
  <c r="E2319"/>
  <c r="B2319"/>
  <c r="E2318"/>
  <c r="B2318"/>
  <c r="E2317"/>
  <c r="B2317"/>
  <c r="E2316"/>
  <c r="B2316"/>
  <c r="E2315"/>
  <c r="B2315"/>
  <c r="E2314"/>
  <c r="B2314"/>
  <c r="E2313"/>
  <c r="B2313"/>
  <c r="E2312"/>
  <c r="B2312"/>
  <c r="E2311"/>
  <c r="B2311"/>
  <c r="E2310"/>
  <c r="B2310"/>
  <c r="E2309"/>
  <c r="B2309"/>
  <c r="E2308"/>
  <c r="B2308"/>
  <c r="E2307"/>
  <c r="B2307"/>
  <c r="E2306"/>
  <c r="B2306"/>
  <c r="E2305"/>
  <c r="B2305"/>
  <c r="E2304"/>
  <c r="B2304"/>
  <c r="E2303"/>
  <c r="B2303"/>
  <c r="E2302"/>
  <c r="B2302"/>
  <c r="E2301"/>
  <c r="B2301"/>
  <c r="E2300"/>
  <c r="B2300"/>
  <c r="E2299"/>
  <c r="B2299"/>
  <c r="E2298"/>
  <c r="B2298"/>
  <c r="E2297"/>
  <c r="B2297"/>
  <c r="E2296"/>
  <c r="B2296"/>
  <c r="E2295"/>
  <c r="B2295"/>
  <c r="E2294"/>
  <c r="B2294"/>
  <c r="E2293"/>
  <c r="B2293"/>
  <c r="E2292"/>
  <c r="B2292"/>
  <c r="E2291"/>
  <c r="B2291"/>
  <c r="E2290"/>
  <c r="B2290"/>
  <c r="E2289"/>
  <c r="B2289"/>
  <c r="E2288"/>
  <c r="B2288"/>
  <c r="E2287"/>
  <c r="B2287"/>
  <c r="E2286"/>
  <c r="B2286"/>
  <c r="E2285"/>
  <c r="B2285"/>
  <c r="E2284"/>
  <c r="B2284"/>
  <c r="E2283"/>
  <c r="B2283"/>
  <c r="E2282"/>
  <c r="B2282"/>
  <c r="E2281"/>
  <c r="B2281"/>
  <c r="E2280"/>
  <c r="B2280"/>
  <c r="E2279"/>
  <c r="B2279"/>
  <c r="E2278"/>
  <c r="B2278"/>
  <c r="E2277"/>
  <c r="B2277"/>
  <c r="E2276"/>
  <c r="B2276"/>
  <c r="E2275"/>
  <c r="B2275"/>
  <c r="E2274"/>
  <c r="B2274"/>
  <c r="E2273"/>
  <c r="B2273"/>
  <c r="E2272"/>
  <c r="B2272"/>
  <c r="E2271"/>
  <c r="B2271"/>
  <c r="E2270"/>
  <c r="B2270"/>
  <c r="E2269"/>
  <c r="B2269"/>
  <c r="E2268"/>
  <c r="B2268"/>
  <c r="E2267"/>
  <c r="B2267"/>
  <c r="E2266"/>
  <c r="B2266"/>
  <c r="E2265"/>
  <c r="B2265"/>
  <c r="E2264"/>
  <c r="B2264"/>
  <c r="E2263"/>
  <c r="B2263"/>
  <c r="E2262"/>
  <c r="B2262"/>
  <c r="E2261"/>
  <c r="B2261"/>
  <c r="E2260"/>
  <c r="B2260"/>
  <c r="E2259"/>
  <c r="B2259"/>
  <c r="E2258"/>
  <c r="B2258"/>
  <c r="E2257"/>
  <c r="B2257"/>
  <c r="E2256"/>
  <c r="B2256"/>
  <c r="E2255"/>
  <c r="B2255"/>
  <c r="E2254"/>
  <c r="B2254"/>
  <c r="E2253"/>
  <c r="B2253"/>
  <c r="E2252"/>
  <c r="B2252"/>
  <c r="E2251"/>
  <c r="B2251"/>
  <c r="E2250"/>
  <c r="B2250"/>
  <c r="E2249"/>
  <c r="B2249"/>
  <c r="E2248"/>
  <c r="B2248"/>
  <c r="E2247"/>
  <c r="B2247"/>
  <c r="E2246"/>
  <c r="B2246"/>
  <c r="E2245"/>
  <c r="B2245"/>
  <c r="E2244"/>
  <c r="B2244"/>
  <c r="E2243"/>
  <c r="B2243"/>
  <c r="E2242"/>
  <c r="B2242"/>
  <c r="E2241"/>
  <c r="B2241"/>
  <c r="E2240"/>
  <c r="B2240"/>
  <c r="E2239"/>
  <c r="B2239"/>
  <c r="E2238"/>
  <c r="B2238"/>
  <c r="E2237"/>
  <c r="B2237"/>
  <c r="E2236"/>
  <c r="B2236"/>
  <c r="E2235"/>
  <c r="B2235"/>
  <c r="E2234"/>
  <c r="B2234"/>
  <c r="E2233"/>
  <c r="B2233"/>
  <c r="E2232"/>
  <c r="B2232"/>
  <c r="E2231"/>
  <c r="B2231"/>
  <c r="E2230"/>
  <c r="B2230"/>
  <c r="E2229"/>
  <c r="B2229"/>
  <c r="E2228"/>
  <c r="B2228"/>
  <c r="E2227"/>
  <c r="B2227"/>
  <c r="E2226"/>
  <c r="B2226"/>
  <c r="E2225"/>
  <c r="B2225"/>
  <c r="E2224"/>
  <c r="B2224"/>
  <c r="E2223"/>
  <c r="B2223"/>
  <c r="E2222"/>
  <c r="B2222"/>
  <c r="E2221"/>
  <c r="B2221"/>
  <c r="E2220"/>
  <c r="B2220"/>
  <c r="E2219"/>
  <c r="B2219"/>
  <c r="E2218"/>
  <c r="B2218"/>
  <c r="E2217"/>
  <c r="B2217"/>
  <c r="E2216"/>
  <c r="B2216"/>
  <c r="E2215"/>
  <c r="B2215"/>
  <c r="E2214"/>
  <c r="B2214"/>
  <c r="E2213"/>
  <c r="B2213"/>
  <c r="E2212"/>
  <c r="B2212"/>
  <c r="E2211"/>
  <c r="B2211"/>
  <c r="E2210"/>
  <c r="B2210"/>
  <c r="E2209"/>
  <c r="B2209"/>
  <c r="E2208"/>
  <c r="B2208"/>
  <c r="E2207"/>
  <c r="B2207"/>
  <c r="E2206"/>
  <c r="B2206"/>
  <c r="E2205"/>
  <c r="B2205"/>
  <c r="E2204"/>
  <c r="B2204"/>
  <c r="E2203"/>
  <c r="B2203"/>
  <c r="E2202"/>
  <c r="B2202"/>
  <c r="E2201"/>
  <c r="B2201"/>
  <c r="E2200"/>
  <c r="B2200"/>
  <c r="E2199"/>
  <c r="B2199"/>
  <c r="E2198"/>
  <c r="B2198"/>
  <c r="E2197"/>
  <c r="B2197"/>
  <c r="E2196"/>
  <c r="B2196"/>
  <c r="E2195"/>
  <c r="B2195"/>
  <c r="E2194"/>
  <c r="B2194"/>
  <c r="E2193"/>
  <c r="B2193"/>
  <c r="E2192"/>
  <c r="B2192"/>
  <c r="E2191"/>
  <c r="B2191"/>
  <c r="E2190"/>
  <c r="B2190"/>
  <c r="E2189"/>
  <c r="B2189"/>
  <c r="E2188"/>
  <c r="B2188"/>
  <c r="E2187"/>
  <c r="B2187"/>
  <c r="E2186"/>
  <c r="B2186"/>
  <c r="E2185"/>
  <c r="B2185"/>
  <c r="E2184"/>
  <c r="B2184"/>
  <c r="E2183"/>
  <c r="B2183"/>
  <c r="E2182"/>
  <c r="B2182"/>
  <c r="E2181"/>
  <c r="B2181"/>
  <c r="E2180"/>
  <c r="B2180"/>
  <c r="E2179"/>
  <c r="B2179"/>
  <c r="E2178"/>
  <c r="B2178"/>
  <c r="E2177"/>
  <c r="B2177"/>
  <c r="E2176"/>
  <c r="B2176"/>
  <c r="E2175"/>
  <c r="B2175"/>
  <c r="E2174"/>
  <c r="B2174"/>
  <c r="E2173"/>
  <c r="B2173"/>
  <c r="E2172"/>
  <c r="B2172"/>
  <c r="E2171"/>
  <c r="B2171"/>
  <c r="E2170"/>
  <c r="B2170"/>
  <c r="E2169"/>
  <c r="B2169"/>
  <c r="E2168"/>
  <c r="B2168"/>
  <c r="E2167"/>
  <c r="B2167"/>
  <c r="E2166"/>
  <c r="B2166"/>
  <c r="E2165"/>
  <c r="B2165"/>
  <c r="E2164"/>
  <c r="B2164"/>
  <c r="E2163"/>
  <c r="B2163"/>
  <c r="E2162"/>
  <c r="B2162"/>
  <c r="E2161"/>
  <c r="B2161"/>
  <c r="E2160"/>
  <c r="B2160"/>
  <c r="E2159"/>
  <c r="B2159"/>
  <c r="E2158"/>
  <c r="B2158"/>
  <c r="E2157"/>
  <c r="B2157"/>
  <c r="E2156"/>
  <c r="B2156"/>
  <c r="E2155"/>
  <c r="B2155"/>
  <c r="E2154"/>
  <c r="B2154"/>
  <c r="E2153"/>
  <c r="B2153"/>
  <c r="E2152"/>
  <c r="B2152"/>
  <c r="E2151"/>
  <c r="B2151"/>
  <c r="E2150"/>
  <c r="B2150"/>
  <c r="E2149"/>
  <c r="B2149"/>
  <c r="E2148"/>
  <c r="B2148"/>
  <c r="E2147"/>
  <c r="B2147"/>
  <c r="E2146"/>
  <c r="B2146"/>
  <c r="E2145"/>
  <c r="B2145"/>
  <c r="E2144"/>
  <c r="B2144"/>
  <c r="E2143"/>
  <c r="B2143"/>
  <c r="E2142"/>
  <c r="B2142"/>
  <c r="E2141"/>
  <c r="B2141"/>
  <c r="E2140"/>
  <c r="B2140"/>
  <c r="E2139"/>
  <c r="B2139"/>
  <c r="E2138"/>
  <c r="B2138"/>
  <c r="E2137"/>
  <c r="B2137"/>
  <c r="E2136"/>
  <c r="B2136"/>
  <c r="E2135"/>
  <c r="B2135"/>
  <c r="E2134"/>
  <c r="B2134"/>
  <c r="E2133"/>
  <c r="B2133"/>
  <c r="E2132"/>
  <c r="B2132"/>
  <c r="E2131"/>
  <c r="B2131"/>
  <c r="E2130"/>
  <c r="B2130"/>
  <c r="E2129"/>
  <c r="B2129"/>
  <c r="E2128"/>
  <c r="B2128"/>
  <c r="E2127"/>
  <c r="B2127"/>
  <c r="E2126"/>
  <c r="B2126"/>
  <c r="E2125"/>
  <c r="B2125"/>
  <c r="E2124"/>
  <c r="B2124"/>
  <c r="E2123"/>
  <c r="B2123"/>
  <c r="E2122"/>
  <c r="B2122"/>
  <c r="E2121"/>
  <c r="B2121"/>
  <c r="E2120"/>
  <c r="B2120"/>
  <c r="E2119"/>
  <c r="B2119"/>
  <c r="E2118"/>
  <c r="B2118"/>
  <c r="E2117"/>
  <c r="B2117"/>
  <c r="E2116"/>
  <c r="B2116"/>
  <c r="E2115"/>
  <c r="B2115"/>
  <c r="E2114"/>
  <c r="B2114"/>
  <c r="E2113"/>
  <c r="B2113"/>
  <c r="E2112"/>
  <c r="B2112"/>
  <c r="E2111"/>
  <c r="B2111"/>
  <c r="E2110"/>
  <c r="B2110"/>
  <c r="E2109"/>
  <c r="B2109"/>
  <c r="E2108"/>
  <c r="B2108"/>
  <c r="E2107"/>
  <c r="B2107"/>
  <c r="E2106"/>
  <c r="B2106"/>
  <c r="E2105"/>
  <c r="B2105"/>
  <c r="E2104"/>
  <c r="B2104"/>
  <c r="E2103"/>
  <c r="B2103"/>
  <c r="E2102"/>
  <c r="B2102"/>
  <c r="E2101"/>
  <c r="B2101"/>
  <c r="E2100"/>
  <c r="B2100"/>
  <c r="E2099"/>
  <c r="B2099"/>
  <c r="E2098"/>
  <c r="B2098"/>
  <c r="E2097"/>
  <c r="B2097"/>
  <c r="E2096"/>
  <c r="B2096"/>
  <c r="E2095"/>
  <c r="B2095"/>
  <c r="E2094"/>
  <c r="B2094"/>
  <c r="E2093"/>
  <c r="B2093"/>
  <c r="E2092"/>
  <c r="B2092"/>
  <c r="E2091"/>
  <c r="B2091"/>
  <c r="E2090"/>
  <c r="B2090"/>
  <c r="E2089"/>
  <c r="B2089"/>
  <c r="E2088"/>
  <c r="B2088"/>
  <c r="E2087"/>
  <c r="B2087"/>
  <c r="E2086"/>
  <c r="B2086"/>
  <c r="E2085"/>
  <c r="B2085"/>
  <c r="E2084"/>
  <c r="B2084"/>
  <c r="E2083"/>
  <c r="B2083"/>
  <c r="E2082"/>
  <c r="B2082"/>
  <c r="E2081"/>
  <c r="B2081"/>
  <c r="E2080"/>
  <c r="B2080"/>
  <c r="E2079"/>
  <c r="B2079"/>
  <c r="E2078"/>
  <c r="B2078"/>
  <c r="E2077"/>
  <c r="B2077"/>
  <c r="E2076"/>
  <c r="B2076"/>
  <c r="E2075"/>
  <c r="B2075"/>
  <c r="E2074"/>
  <c r="B2074"/>
  <c r="E2073"/>
  <c r="B2073"/>
  <c r="E2072"/>
  <c r="B2072"/>
  <c r="E2071"/>
  <c r="B2071"/>
  <c r="E2070"/>
  <c r="B2070"/>
  <c r="E2069"/>
  <c r="B2069"/>
  <c r="E2068"/>
  <c r="B2068"/>
  <c r="E2067"/>
  <c r="B2067"/>
  <c r="E2066"/>
  <c r="B2066"/>
  <c r="E2065"/>
  <c r="B2065"/>
  <c r="E2064"/>
  <c r="B2064"/>
  <c r="E2063"/>
  <c r="B2063"/>
  <c r="E2062"/>
  <c r="B2062"/>
  <c r="E2061"/>
  <c r="B2061"/>
  <c r="E2060"/>
  <c r="B2060"/>
  <c r="E2059"/>
  <c r="B2059"/>
  <c r="E2058"/>
  <c r="B2058"/>
  <c r="E2057"/>
  <c r="B2057"/>
  <c r="E2056"/>
  <c r="B2056"/>
  <c r="E2055"/>
  <c r="B2055"/>
  <c r="E2054"/>
  <c r="B2054"/>
  <c r="E2053"/>
  <c r="B2053"/>
  <c r="E2052"/>
  <c r="B2052"/>
  <c r="E2051"/>
  <c r="B2051"/>
  <c r="E2050"/>
  <c r="B2050"/>
  <c r="E2049"/>
  <c r="B2049"/>
  <c r="E2048"/>
  <c r="B2048"/>
  <c r="E2047"/>
  <c r="B2047"/>
  <c r="E2046"/>
  <c r="B2046"/>
  <c r="E2045"/>
  <c r="B2045"/>
  <c r="E2044"/>
  <c r="B2044"/>
  <c r="E2043"/>
  <c r="B2043"/>
  <c r="E2042"/>
  <c r="B2042"/>
  <c r="E2041"/>
  <c r="B2041"/>
  <c r="E2040"/>
  <c r="B2040"/>
  <c r="E2039"/>
  <c r="B2039"/>
  <c r="E2038"/>
  <c r="B2038"/>
  <c r="E2037"/>
  <c r="B2037"/>
  <c r="E2036"/>
  <c r="B2036"/>
  <c r="E2035"/>
  <c r="B2035"/>
  <c r="E2034"/>
  <c r="B2034"/>
  <c r="E2033"/>
  <c r="B2033"/>
  <c r="E2032"/>
  <c r="B2032"/>
  <c r="E2031"/>
  <c r="B2031"/>
  <c r="E2030"/>
  <c r="B2030"/>
  <c r="E2029"/>
  <c r="B2029"/>
  <c r="E2028"/>
  <c r="B2028"/>
  <c r="E2027"/>
  <c r="B2027"/>
  <c r="E2026"/>
  <c r="B2026"/>
  <c r="E2025"/>
  <c r="B2025"/>
  <c r="E2024"/>
  <c r="B2024"/>
  <c r="E2023"/>
  <c r="B2023"/>
  <c r="E2022"/>
  <c r="B2022"/>
  <c r="E2021"/>
  <c r="B2021"/>
  <c r="E2020"/>
  <c r="B2020"/>
  <c r="E2019"/>
  <c r="B2019"/>
  <c r="E2018"/>
  <c r="B2018"/>
  <c r="E2017"/>
  <c r="B2017"/>
  <c r="E2016"/>
  <c r="B2016"/>
  <c r="E2015"/>
  <c r="B2015"/>
  <c r="E2014"/>
  <c r="B2014"/>
  <c r="E2013"/>
  <c r="B2013"/>
  <c r="E2012"/>
  <c r="B2012"/>
  <c r="E2011"/>
  <c r="B2011"/>
  <c r="E2010"/>
  <c r="B2010"/>
  <c r="E2009"/>
  <c r="B2009"/>
  <c r="E2008"/>
  <c r="B2008"/>
  <c r="E2007"/>
  <c r="B2007"/>
  <c r="E2006"/>
  <c r="B2006"/>
  <c r="E2005"/>
  <c r="B2005"/>
  <c r="E2004"/>
  <c r="B2004"/>
  <c r="E2003"/>
  <c r="B2003"/>
  <c r="E2002"/>
  <c r="B2002"/>
  <c r="E2001"/>
  <c r="B2001"/>
  <c r="E2000"/>
  <c r="B2000"/>
  <c r="E1999"/>
  <c r="B1999"/>
  <c r="E1998"/>
  <c r="B1998"/>
  <c r="E1997"/>
  <c r="B1997"/>
  <c r="E1996"/>
  <c r="B1996"/>
  <c r="E1995"/>
  <c r="B1995"/>
  <c r="E1994"/>
  <c r="B1994"/>
  <c r="E1993"/>
  <c r="B1993"/>
  <c r="E1992"/>
  <c r="B1992"/>
  <c r="E1991"/>
  <c r="B1991"/>
  <c r="E1990"/>
  <c r="B1990"/>
  <c r="E1989"/>
  <c r="B1989"/>
  <c r="E1988"/>
  <c r="B1988"/>
  <c r="E1987"/>
  <c r="B1987"/>
  <c r="E1986"/>
  <c r="B1986"/>
  <c r="E1985"/>
  <c r="B1985"/>
  <c r="E1984"/>
  <c r="B1984"/>
  <c r="E1983"/>
  <c r="B1983"/>
  <c r="E1982"/>
  <c r="B1982"/>
  <c r="E1981"/>
  <c r="B1981"/>
  <c r="E1980"/>
  <c r="B1980"/>
  <c r="E1979"/>
  <c r="B1979"/>
  <c r="E1978"/>
  <c r="B1978"/>
  <c r="E1977"/>
  <c r="B1977"/>
  <c r="E1976"/>
  <c r="B1976"/>
  <c r="E1975"/>
  <c r="B1975"/>
  <c r="E1974"/>
  <c r="B1974"/>
  <c r="E1973"/>
  <c r="B1973"/>
  <c r="E1972"/>
  <c r="B1972"/>
  <c r="E1971"/>
  <c r="B1971"/>
  <c r="E1970"/>
  <c r="B1970"/>
  <c r="E1969"/>
  <c r="B1969"/>
  <c r="E1968"/>
  <c r="B1968"/>
  <c r="E1967"/>
  <c r="B1967"/>
  <c r="E1966"/>
  <c r="B1966"/>
  <c r="E1965"/>
  <c r="B1965"/>
  <c r="E1964"/>
  <c r="B1964"/>
  <c r="E1963"/>
  <c r="B1963"/>
  <c r="E1962"/>
  <c r="B1962"/>
  <c r="E1961"/>
  <c r="B1961"/>
  <c r="E1960"/>
  <c r="B1960"/>
  <c r="E1959"/>
  <c r="B1959"/>
  <c r="E1958"/>
  <c r="B1958"/>
  <c r="E1957"/>
  <c r="B1957"/>
  <c r="E1956"/>
  <c r="B1956"/>
  <c r="E1955"/>
  <c r="B1955"/>
  <c r="E1954"/>
  <c r="B1954"/>
  <c r="E1953"/>
  <c r="B1953"/>
  <c r="E1952"/>
  <c r="B1952"/>
  <c r="E1951"/>
  <c r="B1951"/>
  <c r="E1950"/>
  <c r="B1950"/>
  <c r="E1949"/>
  <c r="B1949"/>
  <c r="E1948"/>
  <c r="B1948"/>
  <c r="E1947"/>
  <c r="B1947"/>
  <c r="E1946"/>
  <c r="B1946"/>
  <c r="E1945"/>
  <c r="B1945"/>
  <c r="E1944"/>
  <c r="B1944"/>
  <c r="E1943"/>
  <c r="B1943"/>
  <c r="E1942"/>
  <c r="B1942"/>
  <c r="E1941"/>
  <c r="B1941"/>
  <c r="E1940"/>
  <c r="B1940"/>
  <c r="E1939"/>
  <c r="B1939"/>
  <c r="E1938"/>
  <c r="B1938"/>
  <c r="E1937"/>
  <c r="B1937"/>
  <c r="E1936"/>
  <c r="B1936"/>
  <c r="E1935"/>
  <c r="B1935"/>
  <c r="E1934"/>
  <c r="B1934"/>
  <c r="E1933"/>
  <c r="B1933"/>
  <c r="E1932"/>
  <c r="B1932"/>
  <c r="E1931"/>
  <c r="B1931"/>
  <c r="E1930"/>
  <c r="B1930"/>
  <c r="E1929"/>
  <c r="B1929"/>
  <c r="E1928"/>
  <c r="B1928"/>
  <c r="E1927"/>
  <c r="B1927"/>
  <c r="E1926"/>
  <c r="B1926"/>
  <c r="E1925"/>
  <c r="B1925"/>
  <c r="E1924"/>
  <c r="B1924"/>
  <c r="E1923"/>
  <c r="B1923"/>
  <c r="E1922"/>
  <c r="B1922"/>
  <c r="E1921"/>
  <c r="B1921"/>
  <c r="E1920"/>
  <c r="B1920"/>
  <c r="E1919"/>
  <c r="B1919"/>
  <c r="E1918"/>
  <c r="B1918"/>
  <c r="E1917"/>
  <c r="B1917"/>
  <c r="E1916"/>
  <c r="B1916"/>
  <c r="E1915"/>
  <c r="B1915"/>
  <c r="E1914"/>
  <c r="B1914"/>
  <c r="E1913"/>
  <c r="B1913"/>
  <c r="E1912"/>
  <c r="B1912"/>
  <c r="E1911"/>
  <c r="B1911"/>
  <c r="E1910"/>
  <c r="B1910"/>
  <c r="E1909"/>
  <c r="B1909"/>
  <c r="E1908"/>
  <c r="B1908"/>
  <c r="E1907"/>
  <c r="B1907"/>
  <c r="E1906"/>
  <c r="B1906"/>
  <c r="E1905"/>
  <c r="B1905"/>
  <c r="E1904"/>
  <c r="B1904"/>
  <c r="E1903"/>
  <c r="B1903"/>
  <c r="E1902"/>
  <c r="B1902"/>
  <c r="E1901"/>
  <c r="B1901"/>
  <c r="E1900"/>
  <c r="B1900"/>
  <c r="E1899"/>
  <c r="B1899"/>
  <c r="E1898"/>
  <c r="B1898"/>
  <c r="E1897"/>
  <c r="B1897"/>
  <c r="E1896"/>
  <c r="B1896"/>
  <c r="E1895"/>
  <c r="B1895"/>
  <c r="E1894"/>
  <c r="B1894"/>
  <c r="E1893"/>
  <c r="B1893"/>
  <c r="E1892"/>
  <c r="B1892"/>
  <c r="E1891"/>
  <c r="B1891"/>
  <c r="E1890"/>
  <c r="B1890"/>
  <c r="E1889"/>
  <c r="B1889"/>
  <c r="E1888"/>
  <c r="B1888"/>
  <c r="E1887"/>
  <c r="B1887"/>
  <c r="E1886"/>
  <c r="B1886"/>
  <c r="E1885"/>
  <c r="B1885"/>
  <c r="E1884"/>
  <c r="B1884"/>
  <c r="E1883"/>
  <c r="B1883"/>
  <c r="E1882"/>
  <c r="B1882"/>
  <c r="E1881"/>
  <c r="B1881"/>
  <c r="E1880"/>
  <c r="B1880"/>
  <c r="E1879"/>
  <c r="B1879"/>
  <c r="E1878"/>
  <c r="B1878"/>
  <c r="E1877"/>
  <c r="B1877"/>
  <c r="E1876"/>
  <c r="B1876"/>
  <c r="E1875"/>
  <c r="B1875"/>
  <c r="E1874"/>
  <c r="B1874"/>
  <c r="E1873"/>
  <c r="B1873"/>
  <c r="E1872"/>
  <c r="B1872"/>
  <c r="E1871"/>
  <c r="B1871"/>
  <c r="E1870"/>
  <c r="B1870"/>
  <c r="E1869"/>
  <c r="B1869"/>
  <c r="E1868"/>
  <c r="B1868"/>
  <c r="E1867"/>
  <c r="B1867"/>
  <c r="E1866"/>
  <c r="B1866"/>
  <c r="E1865"/>
  <c r="B1865"/>
  <c r="E1864"/>
  <c r="B1864"/>
  <c r="E1863"/>
  <c r="B1863"/>
  <c r="E1862"/>
  <c r="B1862"/>
  <c r="E1861"/>
  <c r="B1861"/>
  <c r="E1860"/>
  <c r="B1860"/>
  <c r="E1859"/>
  <c r="B1859"/>
  <c r="E1858"/>
  <c r="B1858"/>
  <c r="E1857"/>
  <c r="B1857"/>
  <c r="E1856"/>
  <c r="B1856"/>
  <c r="E1855"/>
  <c r="B1855"/>
  <c r="E1854"/>
  <c r="B1854"/>
  <c r="E1853"/>
  <c r="B1853"/>
  <c r="E1852"/>
  <c r="B1852"/>
  <c r="E1851"/>
  <c r="B1851"/>
  <c r="E1850"/>
  <c r="B1850"/>
  <c r="E1849"/>
  <c r="B1849"/>
  <c r="E1848"/>
  <c r="B1848"/>
  <c r="E1847"/>
  <c r="B1847"/>
  <c r="E1846"/>
  <c r="B1846"/>
  <c r="E1845"/>
  <c r="B1845"/>
  <c r="E1844"/>
  <c r="B1844"/>
  <c r="E1843"/>
  <c r="B1843"/>
  <c r="E1842"/>
  <c r="B1842"/>
  <c r="E1841"/>
  <c r="B1841"/>
  <c r="E1840"/>
  <c r="B1840"/>
  <c r="E1839"/>
  <c r="B1839"/>
  <c r="E1838"/>
  <c r="B1838"/>
  <c r="E1837"/>
  <c r="B1837"/>
  <c r="E1836"/>
  <c r="B1836"/>
  <c r="E1835"/>
  <c r="B1835"/>
  <c r="E1834"/>
  <c r="B1834"/>
  <c r="E1833"/>
  <c r="B1833"/>
  <c r="E1832"/>
  <c r="B1832"/>
  <c r="E1831"/>
  <c r="B1831"/>
  <c r="E1830"/>
  <c r="B1830"/>
  <c r="E1829"/>
  <c r="B1829"/>
  <c r="E1828"/>
  <c r="B1828"/>
  <c r="E1827"/>
  <c r="B1827"/>
  <c r="E1826"/>
  <c r="B1826"/>
  <c r="E1825"/>
  <c r="B1825"/>
  <c r="E1824"/>
  <c r="B1824"/>
  <c r="E1823"/>
  <c r="B1823"/>
  <c r="E1822"/>
  <c r="B1822"/>
  <c r="E1821"/>
  <c r="B1821"/>
  <c r="E1820"/>
  <c r="B1820"/>
  <c r="E1819"/>
  <c r="B1819"/>
  <c r="E1818"/>
  <c r="B1818"/>
  <c r="E1817"/>
  <c r="B1817"/>
  <c r="E1816"/>
  <c r="B1816"/>
  <c r="E1815"/>
  <c r="B1815"/>
  <c r="E1814"/>
  <c r="B1814"/>
  <c r="E1813"/>
  <c r="B1813"/>
  <c r="E1812"/>
  <c r="B1812"/>
  <c r="E1811"/>
  <c r="B1811"/>
  <c r="E1810"/>
  <c r="B1810"/>
  <c r="E1809"/>
  <c r="B1809"/>
  <c r="E1808"/>
  <c r="B1808"/>
  <c r="E1807"/>
  <c r="B1807"/>
  <c r="E1806"/>
  <c r="B1806"/>
  <c r="E1805"/>
  <c r="B1805"/>
  <c r="E1804"/>
  <c r="B1804"/>
  <c r="E1803"/>
  <c r="B1803"/>
  <c r="E1802"/>
  <c r="B1802"/>
  <c r="E1801"/>
  <c r="B1801"/>
  <c r="E1800"/>
  <c r="B1800"/>
  <c r="E1799"/>
  <c r="B1799"/>
  <c r="E1798"/>
  <c r="B1798"/>
  <c r="E1797"/>
  <c r="B1797"/>
  <c r="E1796"/>
  <c r="B1796"/>
  <c r="E1795"/>
  <c r="B1795"/>
  <c r="E1794"/>
  <c r="B1794"/>
  <c r="E1793"/>
  <c r="B1793"/>
  <c r="E1792"/>
  <c r="B1792"/>
  <c r="E1791"/>
  <c r="B1791"/>
  <c r="E1790"/>
  <c r="B1790"/>
  <c r="E1789"/>
  <c r="B1789"/>
  <c r="E1788"/>
  <c r="B1788"/>
  <c r="E1787"/>
  <c r="B1787"/>
  <c r="E1786"/>
  <c r="B1786"/>
  <c r="E1785"/>
  <c r="B1785"/>
  <c r="E1784"/>
  <c r="B1784"/>
  <c r="E1783"/>
  <c r="B1783"/>
  <c r="E1782"/>
  <c r="B1782"/>
  <c r="E1781"/>
  <c r="B1781"/>
  <c r="E1780"/>
  <c r="B1780"/>
  <c r="E1779"/>
  <c r="B1779"/>
  <c r="E1778"/>
  <c r="B1778"/>
  <c r="E1777"/>
  <c r="B1777"/>
  <c r="E1776"/>
  <c r="B1776"/>
  <c r="E1775"/>
  <c r="B1775"/>
  <c r="E1774"/>
  <c r="B1774"/>
  <c r="E1773"/>
  <c r="B1773"/>
  <c r="E1772"/>
  <c r="B1772"/>
  <c r="E1771"/>
  <c r="B1771"/>
  <c r="E1770"/>
  <c r="B1770"/>
  <c r="E1769"/>
  <c r="B1769"/>
  <c r="E1768"/>
  <c r="B1768"/>
  <c r="E1767"/>
  <c r="B1767"/>
  <c r="E1766"/>
  <c r="B1766"/>
  <c r="E1765"/>
  <c r="B1765"/>
  <c r="E1764"/>
  <c r="B1764"/>
  <c r="E1763"/>
  <c r="B1763"/>
  <c r="E1762"/>
  <c r="B1762"/>
  <c r="E1761"/>
  <c r="B1761"/>
  <c r="E1760"/>
  <c r="B1760"/>
  <c r="E1759"/>
  <c r="B1759"/>
  <c r="E1758"/>
  <c r="B1758"/>
  <c r="E1757"/>
  <c r="B1757"/>
  <c r="E1756"/>
  <c r="B1756"/>
  <c r="E1755"/>
  <c r="B1755"/>
  <c r="E1754"/>
  <c r="B1754"/>
  <c r="E1753"/>
  <c r="B1753"/>
  <c r="E1752"/>
  <c r="B1752"/>
  <c r="E1751"/>
  <c r="B1751"/>
  <c r="E1750"/>
  <c r="B1750"/>
  <c r="E1749"/>
  <c r="B1749"/>
  <c r="E1748"/>
  <c r="B1748"/>
  <c r="E1747"/>
  <c r="B1747"/>
  <c r="E1746"/>
  <c r="B1746"/>
  <c r="E1745"/>
  <c r="B1745"/>
  <c r="E1744"/>
  <c r="B1744"/>
  <c r="E1743"/>
  <c r="B1743"/>
  <c r="E1742"/>
  <c r="B1742"/>
  <c r="E1741"/>
  <c r="B1741"/>
  <c r="E1740"/>
  <c r="B1740"/>
  <c r="E1739"/>
  <c r="B1739"/>
  <c r="E1738"/>
  <c r="B1738"/>
  <c r="E1737"/>
  <c r="B1737"/>
  <c r="E1736"/>
  <c r="B1736"/>
  <c r="E1735"/>
  <c r="B1735"/>
  <c r="E1734"/>
  <c r="B1734"/>
  <c r="E1733"/>
  <c r="B1733"/>
  <c r="E1732"/>
  <c r="B1732"/>
  <c r="E1731"/>
  <c r="B1731"/>
  <c r="E1730"/>
  <c r="B1730"/>
  <c r="E1729"/>
  <c r="B1729"/>
  <c r="E1728"/>
  <c r="B1728"/>
  <c r="E1727"/>
  <c r="B1727"/>
  <c r="E1726"/>
  <c r="B1726"/>
  <c r="E1725"/>
  <c r="B1725"/>
  <c r="E1724"/>
  <c r="B1724"/>
  <c r="E1723"/>
  <c r="B1723"/>
  <c r="E1722"/>
  <c r="B1722"/>
  <c r="E1721"/>
  <c r="B1721"/>
  <c r="E1720"/>
  <c r="B1720"/>
  <c r="E1719"/>
  <c r="B1719"/>
  <c r="E1718"/>
  <c r="B1718"/>
  <c r="E1717"/>
  <c r="B1717"/>
  <c r="E1716"/>
  <c r="B1716"/>
  <c r="E1715"/>
  <c r="B1715"/>
  <c r="E1714"/>
  <c r="B1714"/>
  <c r="E1713"/>
  <c r="B1713"/>
  <c r="E1712"/>
  <c r="B1712"/>
  <c r="E1711"/>
  <c r="B1711"/>
  <c r="E1710"/>
  <c r="B1710"/>
  <c r="E1709"/>
  <c r="B1709"/>
  <c r="E1708"/>
  <c r="B1708"/>
  <c r="E1707"/>
  <c r="B1707"/>
  <c r="E1706"/>
  <c r="B1706"/>
  <c r="E1705"/>
  <c r="B1705"/>
  <c r="E1704"/>
  <c r="B1704"/>
  <c r="E1703"/>
  <c r="B1703"/>
  <c r="E1702"/>
  <c r="B1702"/>
  <c r="E1701"/>
  <c r="B1701"/>
  <c r="E1700"/>
  <c r="B1700"/>
  <c r="E1699"/>
  <c r="B1699"/>
  <c r="E1698"/>
  <c r="B1698"/>
  <c r="E1697"/>
  <c r="B1697"/>
  <c r="E1696"/>
  <c r="B1696"/>
  <c r="E1695"/>
  <c r="B1695"/>
  <c r="E1694"/>
  <c r="B1694"/>
  <c r="E1693"/>
  <c r="B1693"/>
  <c r="E1692"/>
  <c r="B1692"/>
  <c r="E1691"/>
  <c r="B1691"/>
  <c r="E1690"/>
  <c r="B1690"/>
  <c r="E1689"/>
  <c r="B1689"/>
  <c r="E1688"/>
  <c r="B1688"/>
  <c r="E1687"/>
  <c r="B1687"/>
  <c r="E1686"/>
  <c r="B1686"/>
  <c r="E1685"/>
  <c r="B1685"/>
  <c r="E1684"/>
  <c r="B1684"/>
  <c r="E1683"/>
  <c r="B1683"/>
  <c r="E1682"/>
  <c r="B1682"/>
  <c r="E1681"/>
  <c r="B1681"/>
  <c r="E1680"/>
  <c r="B1680"/>
  <c r="E1679"/>
  <c r="B1679"/>
  <c r="E1678"/>
  <c r="B1678"/>
  <c r="E1677"/>
  <c r="B1677"/>
  <c r="E1676"/>
  <c r="B1676"/>
  <c r="E1675"/>
  <c r="B1675"/>
  <c r="E1674"/>
  <c r="B1674"/>
  <c r="E1673"/>
  <c r="B1673"/>
  <c r="E1672"/>
  <c r="B1672"/>
  <c r="E1671"/>
  <c r="B1671"/>
  <c r="E1670"/>
  <c r="B1670"/>
  <c r="E1669"/>
  <c r="B1669"/>
  <c r="E1668"/>
  <c r="B1668"/>
  <c r="E1667"/>
  <c r="B1667"/>
  <c r="E1666"/>
  <c r="B1666"/>
  <c r="E1665"/>
  <c r="B1665"/>
  <c r="E1664"/>
  <c r="B1664"/>
  <c r="E1663"/>
  <c r="B1663"/>
  <c r="E1662"/>
  <c r="B1662"/>
  <c r="E1661"/>
  <c r="B1661"/>
  <c r="E1660"/>
  <c r="B1660"/>
  <c r="E1659"/>
  <c r="B1659"/>
  <c r="E1658"/>
  <c r="B1658"/>
  <c r="E1657"/>
  <c r="B1657"/>
  <c r="E1656"/>
  <c r="B1656"/>
  <c r="E1655"/>
  <c r="B1655"/>
  <c r="E1654"/>
  <c r="B1654"/>
  <c r="E1653"/>
  <c r="B1653"/>
  <c r="E1652"/>
  <c r="B1652"/>
  <c r="E1651"/>
  <c r="B1651"/>
  <c r="E1650"/>
  <c r="B1650"/>
  <c r="E1649"/>
  <c r="B1649"/>
  <c r="E1648"/>
  <c r="B1648"/>
  <c r="E1647"/>
  <c r="B1647"/>
  <c r="E1646"/>
  <c r="B1646"/>
  <c r="E1645"/>
  <c r="B1645"/>
  <c r="E1644"/>
  <c r="B1644"/>
  <c r="E1643"/>
  <c r="B1643"/>
  <c r="E1642"/>
  <c r="B1642"/>
  <c r="E1641"/>
  <c r="B1641"/>
  <c r="E1640"/>
  <c r="B1640"/>
  <c r="E1639"/>
  <c r="B1639"/>
  <c r="E1638"/>
  <c r="B1638"/>
  <c r="E1637"/>
  <c r="B1637"/>
  <c r="E1636"/>
  <c r="B1636"/>
  <c r="E1635"/>
  <c r="B1635"/>
  <c r="E1634"/>
  <c r="B1634"/>
  <c r="E1633"/>
  <c r="B1633"/>
  <c r="E1632"/>
  <c r="B1632"/>
  <c r="E1631"/>
  <c r="B1631"/>
  <c r="E1630"/>
  <c r="B1630"/>
  <c r="E1629"/>
  <c r="B1629"/>
  <c r="E1628"/>
  <c r="B1628"/>
  <c r="E1627"/>
  <c r="B1627"/>
  <c r="E1626"/>
  <c r="B1626"/>
  <c r="E1625"/>
  <c r="B1625"/>
  <c r="E1624"/>
  <c r="B1624"/>
  <c r="E1623"/>
  <c r="B1623"/>
  <c r="E1622"/>
  <c r="B1622"/>
  <c r="E1621"/>
  <c r="B1621"/>
  <c r="E1620"/>
  <c r="B1620"/>
  <c r="E1619"/>
  <c r="B1619"/>
  <c r="E1618"/>
  <c r="B1618"/>
  <c r="E1617"/>
  <c r="B1617"/>
  <c r="E1616"/>
  <c r="B1616"/>
  <c r="E1615"/>
  <c r="B1615"/>
  <c r="E1614"/>
  <c r="B1614"/>
  <c r="E1613"/>
  <c r="B1613"/>
  <c r="E1612"/>
  <c r="B1612"/>
  <c r="E1611"/>
  <c r="B1611"/>
  <c r="E1610"/>
  <c r="B1610"/>
  <c r="E1609"/>
  <c r="B1609"/>
  <c r="E1608"/>
  <c r="B1608"/>
  <c r="E1607"/>
  <c r="B1607"/>
  <c r="E1606"/>
  <c r="B1606"/>
  <c r="E1605"/>
  <c r="B1605"/>
  <c r="E1604"/>
  <c r="B1604"/>
  <c r="E1603"/>
  <c r="B1603"/>
  <c r="E1602"/>
  <c r="B1602"/>
  <c r="E1601"/>
  <c r="B1601"/>
  <c r="E1600"/>
  <c r="B1600"/>
  <c r="E1599"/>
  <c r="B1599"/>
  <c r="E1598"/>
  <c r="B1598"/>
  <c r="E1597"/>
  <c r="B1597"/>
  <c r="E1596"/>
  <c r="B1596"/>
  <c r="E1595"/>
  <c r="B1595"/>
  <c r="E1594"/>
  <c r="B1594"/>
  <c r="E1593"/>
  <c r="B1593"/>
  <c r="E1592"/>
  <c r="B1592"/>
  <c r="E1591"/>
  <c r="B1591"/>
  <c r="E1590"/>
  <c r="B1590"/>
  <c r="E1589"/>
  <c r="B1589"/>
  <c r="E1588"/>
  <c r="B1588"/>
  <c r="E1587"/>
  <c r="B1587"/>
  <c r="E1586"/>
  <c r="B1586"/>
  <c r="E1585"/>
  <c r="B1585"/>
  <c r="E1584"/>
  <c r="B1584"/>
  <c r="E1583"/>
  <c r="B1583"/>
  <c r="E1582"/>
  <c r="B1582"/>
  <c r="E1581"/>
  <c r="B1581"/>
  <c r="E1580"/>
  <c r="B1580"/>
  <c r="E1579"/>
  <c r="B1579"/>
  <c r="E1578"/>
  <c r="B1578"/>
  <c r="E1577"/>
  <c r="B1577"/>
  <c r="E1576"/>
  <c r="B1576"/>
  <c r="E1575"/>
  <c r="B1575"/>
  <c r="E1574"/>
  <c r="B1574"/>
  <c r="E1573"/>
  <c r="B1573"/>
  <c r="E1572"/>
  <c r="B1572"/>
  <c r="E1571"/>
  <c r="B1571"/>
  <c r="E1570"/>
  <c r="B1570"/>
  <c r="E1569"/>
  <c r="B1569"/>
  <c r="E1568"/>
  <c r="B1568"/>
  <c r="E1567"/>
  <c r="B1567"/>
  <c r="E1566"/>
  <c r="B1566"/>
  <c r="E1565"/>
  <c r="B1565"/>
  <c r="E1564"/>
  <c r="B1564"/>
  <c r="E1563"/>
  <c r="B1563"/>
  <c r="E1562"/>
  <c r="B1562"/>
  <c r="E1561"/>
  <c r="B1561"/>
  <c r="E1560"/>
  <c r="B1560"/>
  <c r="E1559"/>
  <c r="B1559"/>
  <c r="E1558"/>
  <c r="B1558"/>
  <c r="E1557"/>
  <c r="B1557"/>
  <c r="E1556"/>
  <c r="B1556"/>
  <c r="E1555"/>
  <c r="B1555"/>
  <c r="E1554"/>
  <c r="B1554"/>
  <c r="E1553"/>
  <c r="B1553"/>
  <c r="E1552"/>
  <c r="B1552"/>
  <c r="E1551"/>
  <c r="B1551"/>
  <c r="E1550"/>
  <c r="B1550"/>
  <c r="E1549"/>
  <c r="B1549"/>
  <c r="E1548"/>
  <c r="B1548"/>
  <c r="E1547"/>
  <c r="B1547"/>
  <c r="E1546"/>
  <c r="B1546"/>
  <c r="E1545"/>
  <c r="B1545"/>
  <c r="E1544"/>
  <c r="B1544"/>
  <c r="E1543"/>
  <c r="B1543"/>
  <c r="E1542"/>
  <c r="B1542"/>
  <c r="E1541"/>
  <c r="B1541"/>
  <c r="E1540"/>
  <c r="B1540"/>
  <c r="E1539"/>
  <c r="B1539"/>
  <c r="E1538"/>
  <c r="B1538"/>
  <c r="E1537"/>
  <c r="B1537"/>
  <c r="E1536"/>
  <c r="B1536"/>
  <c r="E1535"/>
  <c r="B1535"/>
  <c r="E1534"/>
  <c r="B1534"/>
  <c r="E1533"/>
  <c r="B1533"/>
  <c r="E1532"/>
  <c r="B1532"/>
  <c r="E1531"/>
  <c r="B1531"/>
  <c r="E1530"/>
  <c r="B1530"/>
  <c r="E1529"/>
  <c r="B1529"/>
  <c r="E1528"/>
  <c r="B1528"/>
  <c r="E1527"/>
  <c r="B1527"/>
  <c r="E1526"/>
  <c r="B1526"/>
  <c r="E1525"/>
  <c r="B1525"/>
  <c r="E1524"/>
  <c r="B1524"/>
  <c r="E1523"/>
  <c r="B1523"/>
  <c r="E1522"/>
  <c r="B1522"/>
  <c r="E1521"/>
  <c r="B1521"/>
  <c r="E1520"/>
  <c r="B1520"/>
  <c r="E1519"/>
  <c r="B1519"/>
  <c r="E1518"/>
  <c r="B1518"/>
  <c r="E1517"/>
  <c r="B1517"/>
  <c r="E1516"/>
  <c r="B1516"/>
  <c r="E1515"/>
  <c r="B1515"/>
  <c r="E1514"/>
  <c r="B1514"/>
  <c r="E1513"/>
  <c r="B1513"/>
  <c r="E1512"/>
  <c r="B1512"/>
  <c r="E1511"/>
  <c r="B1511"/>
  <c r="E1510"/>
  <c r="B1510"/>
  <c r="E1509"/>
  <c r="B1509"/>
  <c r="E1508"/>
  <c r="B1508"/>
  <c r="E1507"/>
  <c r="B1507"/>
  <c r="E1506"/>
  <c r="B1506"/>
  <c r="E1505"/>
  <c r="B1505"/>
  <c r="E1504"/>
  <c r="B1504"/>
  <c r="E1503"/>
  <c r="B1503"/>
  <c r="E1502"/>
  <c r="B1502"/>
  <c r="E1501"/>
  <c r="B1501"/>
  <c r="E1500"/>
  <c r="B1500"/>
  <c r="E1499"/>
  <c r="B1499"/>
  <c r="E1498"/>
  <c r="B1498"/>
  <c r="E1497"/>
  <c r="B1497"/>
  <c r="E1496"/>
  <c r="B1496"/>
  <c r="E1495"/>
  <c r="B1495"/>
  <c r="E1494"/>
  <c r="B1494"/>
  <c r="E1493"/>
  <c r="B1493"/>
  <c r="E1492"/>
  <c r="B1492"/>
  <c r="E1491"/>
  <c r="B1491"/>
  <c r="E1490"/>
  <c r="B1490"/>
  <c r="E1489"/>
  <c r="B1489"/>
  <c r="E1488"/>
  <c r="B1488"/>
  <c r="E1487"/>
  <c r="B1487"/>
  <c r="E1486"/>
  <c r="B1486"/>
  <c r="E1485"/>
  <c r="B1485"/>
  <c r="E1484"/>
  <c r="B1484"/>
  <c r="E1483"/>
  <c r="B1483"/>
  <c r="E1482"/>
  <c r="B1482"/>
  <c r="E1481"/>
  <c r="B1481"/>
  <c r="E1480"/>
  <c r="B1480"/>
  <c r="E1479"/>
  <c r="B1479"/>
  <c r="E1478"/>
  <c r="B1478"/>
  <c r="E1477"/>
  <c r="B1477"/>
  <c r="E1476"/>
  <c r="B1476"/>
  <c r="E1475"/>
  <c r="B1475"/>
  <c r="E1474"/>
  <c r="B1474"/>
  <c r="E1473"/>
  <c r="B1473"/>
  <c r="E1472"/>
  <c r="B1472"/>
  <c r="E1471"/>
  <c r="B1471"/>
  <c r="E1470"/>
  <c r="B1470"/>
  <c r="E1469"/>
  <c r="B1469"/>
  <c r="E1468"/>
  <c r="B1468"/>
  <c r="E1467"/>
  <c r="B1467"/>
  <c r="E1466"/>
  <c r="B1466"/>
  <c r="E1465"/>
  <c r="B1465"/>
  <c r="E1464"/>
  <c r="B1464"/>
  <c r="E1463"/>
  <c r="B1463"/>
  <c r="E1462"/>
  <c r="B1462"/>
  <c r="E1461"/>
  <c r="B1461"/>
  <c r="E1460"/>
  <c r="B1460"/>
  <c r="E1459"/>
  <c r="B1459"/>
  <c r="E1458"/>
  <c r="B1458"/>
  <c r="E1457"/>
  <c r="B1457"/>
  <c r="E1456"/>
  <c r="B1456"/>
  <c r="E1455"/>
  <c r="B1455"/>
  <c r="E1454"/>
  <c r="B1454"/>
  <c r="E1453"/>
  <c r="B1453"/>
  <c r="E1452"/>
  <c r="B1452"/>
  <c r="E1451"/>
  <c r="B1451"/>
  <c r="E1450"/>
  <c r="B1450"/>
  <c r="E1449"/>
  <c r="B1449"/>
  <c r="E1448"/>
  <c r="B1448"/>
  <c r="E1447"/>
  <c r="B1447"/>
  <c r="E1446"/>
  <c r="B1446"/>
  <c r="E1445"/>
  <c r="B1445"/>
  <c r="E1444"/>
  <c r="B1444"/>
  <c r="E1443"/>
  <c r="B1443"/>
  <c r="E1442"/>
  <c r="B1442"/>
  <c r="E1441"/>
  <c r="B1441"/>
  <c r="E1440"/>
  <c r="B1440"/>
  <c r="E1439"/>
  <c r="B1439"/>
  <c r="E1438"/>
  <c r="B1438"/>
  <c r="E1437"/>
  <c r="B1437"/>
  <c r="E1436"/>
  <c r="B1436"/>
  <c r="E1435"/>
  <c r="B1435"/>
  <c r="E1434"/>
  <c r="B1434"/>
  <c r="E1433"/>
  <c r="B1433"/>
  <c r="E1432"/>
  <c r="B1432"/>
  <c r="E1431"/>
  <c r="B1431"/>
  <c r="E1430"/>
  <c r="B1430"/>
  <c r="E1429"/>
  <c r="B1429"/>
  <c r="E1428"/>
  <c r="B1428"/>
  <c r="E1427"/>
  <c r="B1427"/>
  <c r="E1426"/>
  <c r="B1426"/>
  <c r="E1425"/>
  <c r="B1425"/>
  <c r="E1424"/>
  <c r="B1424"/>
  <c r="E1423"/>
  <c r="B1423"/>
  <c r="E1422"/>
  <c r="B1422"/>
  <c r="E1421"/>
  <c r="B1421"/>
  <c r="E1420"/>
  <c r="B1420"/>
  <c r="E1419"/>
  <c r="B1419"/>
  <c r="E1418"/>
  <c r="B1418"/>
  <c r="E1417"/>
  <c r="B1417"/>
  <c r="E1416"/>
  <c r="B1416"/>
  <c r="E1415"/>
  <c r="B1415"/>
  <c r="E1414"/>
  <c r="B1414"/>
  <c r="E1413"/>
  <c r="B1413"/>
  <c r="E1412"/>
  <c r="B1412"/>
  <c r="E1411"/>
  <c r="B1411"/>
  <c r="E1410"/>
  <c r="B1410"/>
  <c r="E1409"/>
  <c r="B1409"/>
  <c r="E1408"/>
  <c r="B1408"/>
  <c r="E1407"/>
  <c r="B1407"/>
  <c r="E1406"/>
  <c r="B1406"/>
  <c r="E1405"/>
  <c r="B1405"/>
  <c r="E1404"/>
  <c r="B1404"/>
  <c r="E1403"/>
  <c r="B1403"/>
  <c r="E1402"/>
  <c r="B1402"/>
  <c r="E1401"/>
  <c r="B1401"/>
  <c r="E1400"/>
  <c r="B1400"/>
  <c r="E1399"/>
  <c r="B1399"/>
  <c r="E1398"/>
  <c r="B1398"/>
  <c r="E1397"/>
  <c r="B1397"/>
  <c r="E1396"/>
  <c r="B1396"/>
  <c r="E1395"/>
  <c r="B1395"/>
  <c r="E1394"/>
  <c r="B1394"/>
  <c r="E1393"/>
  <c r="B1393"/>
  <c r="E1392"/>
  <c r="B1392"/>
  <c r="E1391"/>
  <c r="B1391"/>
  <c r="E1390"/>
  <c r="B1390"/>
  <c r="E1389"/>
  <c r="B1389"/>
  <c r="E1388"/>
  <c r="B1388"/>
  <c r="E1387"/>
  <c r="B1387"/>
  <c r="E1386"/>
  <c r="B1386"/>
  <c r="E1385"/>
  <c r="B1385"/>
  <c r="E1384"/>
  <c r="B1384"/>
  <c r="E1383"/>
  <c r="B1383"/>
  <c r="E1382"/>
  <c r="B1382"/>
  <c r="E1381"/>
  <c r="B1381"/>
  <c r="E1380"/>
  <c r="B1380"/>
  <c r="E1379"/>
  <c r="B1379"/>
  <c r="E1378"/>
  <c r="B1378"/>
  <c r="E1377"/>
  <c r="B1377"/>
  <c r="E1376"/>
  <c r="B1376"/>
  <c r="E1375"/>
  <c r="B1375"/>
  <c r="E1374"/>
  <c r="B1374"/>
  <c r="E1373"/>
  <c r="B1373"/>
  <c r="E1372"/>
  <c r="B1372"/>
  <c r="E1371"/>
  <c r="B1371"/>
  <c r="E1370"/>
  <c r="B1370"/>
  <c r="E1369"/>
  <c r="B1369"/>
  <c r="E1368"/>
  <c r="B1368"/>
  <c r="E1367"/>
  <c r="B1367"/>
  <c r="E1366"/>
  <c r="B1366"/>
  <c r="E1365"/>
  <c r="B1365"/>
  <c r="E1364"/>
  <c r="B1364"/>
  <c r="E1363"/>
  <c r="B1363"/>
  <c r="E1362"/>
  <c r="B1362"/>
  <c r="E1361"/>
  <c r="B1361"/>
  <c r="E1360"/>
  <c r="B1360"/>
  <c r="E1359"/>
  <c r="B1359"/>
  <c r="E1358"/>
  <c r="B1358"/>
  <c r="E1357"/>
  <c r="B1357"/>
  <c r="E1356"/>
  <c r="B1356"/>
  <c r="E1355"/>
  <c r="B1355"/>
  <c r="E1354"/>
  <c r="B1354"/>
  <c r="E1353"/>
  <c r="B1353"/>
  <c r="E1352"/>
  <c r="B1352"/>
  <c r="E1351"/>
  <c r="B1351"/>
  <c r="E1350"/>
  <c r="B1350"/>
  <c r="E1349"/>
  <c r="B1349"/>
  <c r="E1348"/>
  <c r="B1348"/>
  <c r="E1347"/>
  <c r="B1347"/>
  <c r="E1346"/>
  <c r="B1346"/>
  <c r="E1345"/>
  <c r="B1345"/>
  <c r="E1344"/>
  <c r="B1344"/>
  <c r="E1343"/>
  <c r="B1343"/>
  <c r="E1342"/>
  <c r="B1342"/>
  <c r="E1341"/>
  <c r="B1341"/>
  <c r="E1340"/>
  <c r="B1340"/>
  <c r="E1339"/>
  <c r="B1339"/>
  <c r="E1338"/>
  <c r="B1338"/>
  <c r="E1337"/>
  <c r="B1337"/>
  <c r="E1336"/>
  <c r="B1336"/>
  <c r="E1335"/>
  <c r="B1335"/>
  <c r="E1334"/>
  <c r="B1334"/>
  <c r="E1333"/>
  <c r="B1333"/>
  <c r="E1332"/>
  <c r="B1332"/>
  <c r="E1331"/>
  <c r="B1331"/>
  <c r="E1330"/>
  <c r="B1330"/>
  <c r="E1329"/>
  <c r="B1329"/>
  <c r="E1328"/>
  <c r="B1328"/>
  <c r="E1327"/>
  <c r="B1327"/>
  <c r="E1326"/>
  <c r="B1326"/>
  <c r="E1325"/>
  <c r="B1325"/>
  <c r="E1324"/>
  <c r="B1324"/>
  <c r="E1323"/>
  <c r="B1323"/>
  <c r="E1322"/>
  <c r="B1322"/>
  <c r="E1321"/>
  <c r="B1321"/>
  <c r="E1320"/>
  <c r="B1320"/>
  <c r="E1319"/>
  <c r="B1319"/>
  <c r="E1318"/>
  <c r="B1318"/>
  <c r="E1317"/>
  <c r="B1317"/>
  <c r="E1316"/>
  <c r="B1316"/>
  <c r="E1315"/>
  <c r="B1315"/>
  <c r="E1314"/>
  <c r="B1314"/>
  <c r="E1313"/>
  <c r="B1313"/>
  <c r="E1312"/>
  <c r="B1312"/>
  <c r="E1311"/>
  <c r="B1311"/>
  <c r="E1310"/>
  <c r="B1310"/>
  <c r="E1309"/>
  <c r="B1309"/>
  <c r="E1308"/>
  <c r="B1308"/>
  <c r="E1307"/>
  <c r="B1307"/>
  <c r="E1306"/>
  <c r="B1306"/>
  <c r="E1305"/>
  <c r="B1305"/>
  <c r="E1304"/>
  <c r="B1304"/>
  <c r="E1303"/>
  <c r="B1303"/>
  <c r="E1302"/>
  <c r="B1302"/>
  <c r="E1301"/>
  <c r="B1301"/>
  <c r="E1300"/>
  <c r="B1300"/>
  <c r="E1299"/>
  <c r="B1299"/>
  <c r="E1298"/>
  <c r="B1298"/>
  <c r="E1297"/>
  <c r="B1297"/>
  <c r="E1296"/>
  <c r="B1296"/>
  <c r="E1295"/>
  <c r="B1295"/>
  <c r="E1294"/>
  <c r="B1294"/>
  <c r="E1293"/>
  <c r="B1293"/>
  <c r="E1292"/>
  <c r="B1292"/>
  <c r="E1291"/>
  <c r="B1291"/>
  <c r="E1290"/>
  <c r="B1290"/>
  <c r="E1289"/>
  <c r="B1289"/>
  <c r="E1288"/>
  <c r="B1288"/>
  <c r="E1287"/>
  <c r="B1287"/>
  <c r="E1286"/>
  <c r="B1286"/>
  <c r="E1285"/>
  <c r="B1285"/>
  <c r="E1284"/>
  <c r="B1284"/>
  <c r="E1283"/>
  <c r="B1283"/>
  <c r="E1282"/>
  <c r="B1282"/>
  <c r="E1281"/>
  <c r="B1281"/>
  <c r="E1280"/>
  <c r="B1280"/>
  <c r="E1279"/>
  <c r="B1279"/>
  <c r="E1278"/>
  <c r="B1278"/>
  <c r="E1277"/>
  <c r="B1277"/>
  <c r="E1276"/>
  <c r="B1276"/>
  <c r="E1275"/>
  <c r="B1275"/>
  <c r="E1274"/>
  <c r="B1274"/>
  <c r="E1273"/>
  <c r="B1273"/>
  <c r="E1272"/>
  <c r="B1272"/>
  <c r="E1271"/>
  <c r="B1271"/>
  <c r="E1270"/>
  <c r="B1270"/>
  <c r="E1269"/>
  <c r="B1269"/>
  <c r="E1268"/>
  <c r="B1268"/>
  <c r="E1267"/>
  <c r="B1267"/>
  <c r="E1266"/>
  <c r="B1266"/>
  <c r="E1265"/>
  <c r="B1265"/>
  <c r="E1264"/>
  <c r="B1264"/>
  <c r="E1263"/>
  <c r="B1263"/>
  <c r="E1262"/>
  <c r="B1262"/>
  <c r="E1261"/>
  <c r="B1261"/>
  <c r="E1260"/>
  <c r="B1260"/>
  <c r="E1259"/>
  <c r="B1259"/>
  <c r="E1258"/>
  <c r="B1258"/>
  <c r="E1257"/>
  <c r="B1257"/>
  <c r="E1256"/>
  <c r="B1256"/>
  <c r="E1255"/>
  <c r="B1255"/>
  <c r="E1254"/>
  <c r="B1254"/>
  <c r="E1253"/>
  <c r="B1253"/>
  <c r="E1252"/>
  <c r="B1252"/>
  <c r="E1251"/>
  <c r="B1251"/>
  <c r="E1250"/>
  <c r="B1250"/>
  <c r="E1249"/>
  <c r="B1249"/>
  <c r="E1248"/>
  <c r="B1248"/>
  <c r="E1247"/>
  <c r="B1247"/>
  <c r="E1246"/>
  <c r="B1246"/>
  <c r="E1245"/>
  <c r="B1245"/>
  <c r="E1244"/>
  <c r="B1244"/>
  <c r="E1243"/>
  <c r="B1243"/>
  <c r="E1242"/>
  <c r="B1242"/>
  <c r="E1241"/>
  <c r="B1241"/>
  <c r="E1240"/>
  <c r="B1240"/>
  <c r="E1239"/>
  <c r="B1239"/>
  <c r="E1238"/>
  <c r="B1238"/>
  <c r="E1237"/>
  <c r="B1237"/>
  <c r="E1236"/>
  <c r="B1236"/>
  <c r="E1235"/>
  <c r="B1235"/>
  <c r="E1234"/>
  <c r="B1234"/>
  <c r="E1233"/>
  <c r="B1233"/>
  <c r="E1232"/>
  <c r="B1232"/>
  <c r="E1231"/>
  <c r="B1231"/>
  <c r="E1230"/>
  <c r="B1230"/>
  <c r="E1229"/>
  <c r="B1229"/>
  <c r="E1228"/>
  <c r="B1228"/>
  <c r="E1227"/>
  <c r="B1227"/>
  <c r="E1226"/>
  <c r="B1226"/>
  <c r="E1225"/>
  <c r="B1225"/>
  <c r="E1224"/>
  <c r="B1224"/>
  <c r="E1223"/>
  <c r="B1223"/>
  <c r="E1222"/>
  <c r="B1222"/>
  <c r="E1221"/>
  <c r="B1221"/>
  <c r="E1220"/>
  <c r="B1220"/>
  <c r="E1219"/>
  <c r="B1219"/>
  <c r="E1218"/>
  <c r="B1218"/>
  <c r="E1217"/>
  <c r="B1217"/>
  <c r="E1216"/>
  <c r="B1216"/>
  <c r="E1215"/>
  <c r="B1215"/>
  <c r="E1214"/>
  <c r="B1214"/>
  <c r="E1213"/>
  <c r="B1213"/>
  <c r="E1212"/>
  <c r="B1212"/>
  <c r="E1211"/>
  <c r="B1211"/>
  <c r="E1210"/>
  <c r="B1210"/>
  <c r="E1209"/>
  <c r="B1209"/>
  <c r="E1208"/>
  <c r="B1208"/>
  <c r="E1207"/>
  <c r="B1207"/>
  <c r="E1206"/>
  <c r="B1206"/>
  <c r="E1205"/>
  <c r="B1205"/>
  <c r="E1204"/>
  <c r="B1204"/>
  <c r="E1203"/>
  <c r="B1203"/>
  <c r="E1202"/>
  <c r="B1202"/>
  <c r="E1201"/>
  <c r="B1201"/>
  <c r="E1200"/>
  <c r="B1200"/>
  <c r="E1199"/>
  <c r="B1199"/>
  <c r="E1198"/>
  <c r="B1198"/>
  <c r="E1197"/>
  <c r="B1197"/>
  <c r="E1196"/>
  <c r="B1196"/>
  <c r="E1195"/>
  <c r="B1195"/>
  <c r="E1194"/>
  <c r="B1194"/>
  <c r="E1193"/>
  <c r="B1193"/>
  <c r="E1192"/>
  <c r="B1192"/>
  <c r="E1191"/>
  <c r="B1191"/>
  <c r="E1190"/>
  <c r="B1190"/>
  <c r="E1189"/>
  <c r="B1189"/>
  <c r="E1188"/>
  <c r="B1188"/>
  <c r="E1187"/>
  <c r="B1187"/>
  <c r="E1186"/>
  <c r="B1186"/>
  <c r="E1185"/>
  <c r="B1185"/>
  <c r="E1184"/>
  <c r="B1184"/>
  <c r="E1183"/>
  <c r="B1183"/>
  <c r="E1182"/>
  <c r="B1182"/>
  <c r="E1181"/>
  <c r="B1181"/>
  <c r="E1180"/>
  <c r="B1180"/>
  <c r="E1179"/>
  <c r="B1179"/>
  <c r="E1178"/>
  <c r="B1178"/>
  <c r="E1177"/>
  <c r="B1177"/>
  <c r="E1176"/>
  <c r="B1176"/>
  <c r="E1175"/>
  <c r="B1175"/>
  <c r="E1174"/>
  <c r="B1174"/>
  <c r="E1173"/>
  <c r="B1173"/>
  <c r="E1172"/>
  <c r="B1172"/>
  <c r="E1171"/>
  <c r="B1171"/>
  <c r="E1170"/>
  <c r="B1170"/>
  <c r="E1169"/>
  <c r="B1169"/>
  <c r="E1168"/>
  <c r="B1168"/>
  <c r="E1167"/>
  <c r="B1167"/>
  <c r="E1166"/>
  <c r="B1166"/>
  <c r="E1165"/>
  <c r="B1165"/>
  <c r="E1164"/>
  <c r="B1164"/>
  <c r="E1163"/>
  <c r="B1163"/>
  <c r="E1162"/>
  <c r="B1162"/>
  <c r="E1161"/>
  <c r="B1161"/>
  <c r="E1160"/>
  <c r="B1160"/>
  <c r="E1159"/>
  <c r="B1159"/>
  <c r="E1158"/>
  <c r="B1158"/>
  <c r="E1157"/>
  <c r="B1157"/>
  <c r="E1156"/>
  <c r="B1156"/>
  <c r="E1155"/>
  <c r="B1155"/>
  <c r="E1154"/>
  <c r="B1154"/>
  <c r="E1153"/>
  <c r="B1153"/>
  <c r="E1152"/>
  <c r="B1152"/>
  <c r="E1151"/>
  <c r="B1151"/>
  <c r="E1150"/>
  <c r="B1150"/>
  <c r="E1149"/>
  <c r="B1149"/>
  <c r="E1148"/>
  <c r="B1148"/>
  <c r="E1147"/>
  <c r="B1147"/>
  <c r="E1146"/>
  <c r="B1146"/>
  <c r="E1145"/>
  <c r="B1145"/>
  <c r="E1144"/>
  <c r="B1144"/>
  <c r="E1143"/>
  <c r="B1143"/>
  <c r="E1142"/>
  <c r="B1142"/>
  <c r="E1141"/>
  <c r="B1141"/>
  <c r="E1140"/>
  <c r="B1140"/>
  <c r="E1139"/>
  <c r="B1139"/>
  <c r="E1138"/>
  <c r="B1138"/>
  <c r="E1137"/>
  <c r="B1137"/>
  <c r="E1136"/>
  <c r="B1136"/>
  <c r="E1135"/>
  <c r="B1135"/>
  <c r="E1134"/>
  <c r="B1134"/>
  <c r="E1133"/>
  <c r="B1133"/>
  <c r="E1132"/>
  <c r="B1132"/>
  <c r="E1131"/>
  <c r="B1131"/>
  <c r="E1130"/>
  <c r="B1130"/>
  <c r="E1129"/>
  <c r="B1129"/>
  <c r="E1128"/>
  <c r="B1128"/>
  <c r="E1127"/>
  <c r="B1127"/>
  <c r="E1126"/>
  <c r="B1126"/>
  <c r="E1125"/>
  <c r="B1125"/>
  <c r="E1124"/>
  <c r="B1124"/>
  <c r="E1123"/>
  <c r="B1123"/>
  <c r="E1122"/>
  <c r="B1122"/>
  <c r="E1121"/>
  <c r="B1121"/>
  <c r="E1120"/>
  <c r="B1120"/>
  <c r="E1119"/>
  <c r="B1119"/>
  <c r="E1118"/>
  <c r="B1118"/>
  <c r="E1117"/>
  <c r="B1117"/>
  <c r="E1116"/>
  <c r="B1116"/>
  <c r="E1115"/>
  <c r="B1115"/>
  <c r="E1114"/>
  <c r="B1114"/>
  <c r="E1113"/>
  <c r="B1113"/>
  <c r="E1112"/>
  <c r="B1112"/>
  <c r="E1111"/>
  <c r="B1111"/>
  <c r="E1110"/>
  <c r="B1110"/>
  <c r="E1109"/>
  <c r="B1109"/>
  <c r="E1108"/>
  <c r="B1108"/>
  <c r="E1107"/>
  <c r="B1107"/>
  <c r="E1106"/>
  <c r="B1106"/>
  <c r="E1105"/>
  <c r="B1105"/>
  <c r="E1104"/>
  <c r="B1104"/>
  <c r="E1103"/>
  <c r="B1103"/>
  <c r="E1102"/>
  <c r="B1102"/>
  <c r="E1101"/>
  <c r="B1101"/>
  <c r="E1100"/>
  <c r="B1100"/>
  <c r="E1099"/>
  <c r="B1099"/>
  <c r="E1098"/>
  <c r="B1098"/>
  <c r="E1097"/>
  <c r="B1097"/>
  <c r="E1096"/>
  <c r="B1096"/>
  <c r="E1095"/>
  <c r="B1095"/>
  <c r="E1094"/>
  <c r="B1094"/>
  <c r="E1093"/>
  <c r="B1093"/>
  <c r="E1092"/>
  <c r="B1092"/>
  <c r="E1091"/>
  <c r="B1091"/>
  <c r="E1090"/>
  <c r="B1090"/>
  <c r="E1089"/>
  <c r="B1089"/>
  <c r="E1088"/>
  <c r="B1088"/>
  <c r="E1087"/>
  <c r="B1087"/>
  <c r="E1086"/>
  <c r="B1086"/>
  <c r="E1085"/>
  <c r="B1085"/>
  <c r="E1084"/>
  <c r="B1084"/>
  <c r="E1083"/>
  <c r="B1083"/>
  <c r="E1082"/>
  <c r="B1082"/>
  <c r="E1081"/>
  <c r="B1081"/>
  <c r="E1080"/>
  <c r="B1080"/>
  <c r="E1079"/>
  <c r="B1079"/>
  <c r="E1078"/>
  <c r="B1078"/>
  <c r="E1077"/>
  <c r="B1077"/>
  <c r="E1076"/>
  <c r="B1076"/>
  <c r="E1075"/>
  <c r="B1075"/>
  <c r="E1074"/>
  <c r="B1074"/>
  <c r="E1073"/>
  <c r="B1073"/>
  <c r="E1072"/>
  <c r="B1072"/>
  <c r="E1071"/>
  <c r="B1071"/>
  <c r="E1070"/>
  <c r="B1070"/>
  <c r="E1069"/>
  <c r="B1069"/>
  <c r="E1068"/>
  <c r="B1068"/>
  <c r="E1067"/>
  <c r="B1067"/>
  <c r="E1066"/>
  <c r="B1066"/>
  <c r="E1065"/>
  <c r="B1065"/>
  <c r="E1064"/>
  <c r="B1064"/>
  <c r="E1063"/>
  <c r="B1063"/>
  <c r="E1062"/>
  <c r="B1062"/>
  <c r="E1061"/>
  <c r="B1061"/>
  <c r="E1060"/>
  <c r="B1060"/>
  <c r="E1059"/>
  <c r="B1059"/>
  <c r="E1058"/>
  <c r="B1058"/>
  <c r="E1057"/>
  <c r="B1057"/>
  <c r="E1056"/>
  <c r="B1056"/>
  <c r="E1055"/>
  <c r="B1055"/>
  <c r="E1054"/>
  <c r="B1054"/>
  <c r="E1053"/>
  <c r="B1053"/>
  <c r="E1052"/>
  <c r="B1052"/>
  <c r="E1051"/>
  <c r="B1051"/>
  <c r="E1050"/>
  <c r="B1050"/>
  <c r="E1049"/>
  <c r="B1049"/>
  <c r="E1048"/>
  <c r="B1048"/>
  <c r="E1047"/>
  <c r="B1047"/>
  <c r="E1046"/>
  <c r="B1046"/>
  <c r="E1045"/>
  <c r="B1045"/>
  <c r="E1044"/>
  <c r="B1044"/>
  <c r="E1043"/>
  <c r="B1043"/>
  <c r="E1042"/>
  <c r="B1042"/>
  <c r="E1041"/>
  <c r="B1041"/>
  <c r="E1040"/>
  <c r="B1040"/>
  <c r="E1039"/>
  <c r="B1039"/>
  <c r="E1038"/>
  <c r="B1038"/>
  <c r="E1037"/>
  <c r="B1037"/>
  <c r="E1036"/>
  <c r="B1036"/>
  <c r="E1035"/>
  <c r="B1035"/>
  <c r="E1034"/>
  <c r="B1034"/>
  <c r="E1033"/>
  <c r="B1033"/>
  <c r="E1032"/>
  <c r="B1032"/>
  <c r="E1031"/>
  <c r="B1031"/>
  <c r="E1030"/>
  <c r="B1030"/>
  <c r="E1029"/>
  <c r="B1029"/>
  <c r="E1028"/>
  <c r="B1028"/>
  <c r="E1027"/>
  <c r="B1027"/>
  <c r="E1026"/>
  <c r="B1026"/>
  <c r="E1025"/>
  <c r="B1025"/>
  <c r="E1024"/>
  <c r="B1024"/>
  <c r="E1023"/>
  <c r="B1023"/>
  <c r="E1022"/>
  <c r="B1022"/>
  <c r="E1021"/>
  <c r="B1021"/>
  <c r="E1020"/>
  <c r="B1020"/>
  <c r="E1019"/>
  <c r="B1019"/>
  <c r="E1018"/>
  <c r="B1018"/>
  <c r="E1017"/>
  <c r="B1017"/>
  <c r="E1016"/>
  <c r="B1016"/>
  <c r="E1015"/>
  <c r="B1015"/>
  <c r="E1014"/>
  <c r="B1014"/>
  <c r="E1013"/>
  <c r="B1013"/>
  <c r="E1012"/>
  <c r="B1012"/>
  <c r="E1011"/>
  <c r="B1011"/>
  <c r="E1010"/>
  <c r="B1010"/>
  <c r="E1009"/>
  <c r="B1009"/>
  <c r="E1008"/>
  <c r="B1008"/>
  <c r="E1007"/>
  <c r="B1007"/>
  <c r="E1006"/>
  <c r="B1006"/>
  <c r="E1005"/>
  <c r="B1005"/>
  <c r="E1004"/>
  <c r="B1004"/>
  <c r="E1003"/>
  <c r="B1003"/>
  <c r="E1002"/>
  <c r="B1002"/>
  <c r="E1001"/>
  <c r="B1001"/>
  <c r="E1000"/>
  <c r="B1000"/>
  <c r="E999"/>
  <c r="B999"/>
  <c r="E998"/>
  <c r="B998"/>
  <c r="E997"/>
  <c r="B997"/>
  <c r="E996"/>
  <c r="B996"/>
  <c r="E995"/>
  <c r="B995"/>
  <c r="E994"/>
  <c r="B994"/>
  <c r="E993"/>
  <c r="B993"/>
  <c r="E992"/>
  <c r="B992"/>
  <c r="E991"/>
  <c r="B991"/>
  <c r="E990"/>
  <c r="B990"/>
  <c r="E989"/>
  <c r="B989"/>
  <c r="E988"/>
  <c r="B988"/>
  <c r="E987"/>
  <c r="B987"/>
  <c r="E986"/>
  <c r="B986"/>
  <c r="E985"/>
  <c r="B985"/>
  <c r="E984"/>
  <c r="B984"/>
  <c r="E983"/>
  <c r="B983"/>
  <c r="E982"/>
  <c r="B982"/>
  <c r="E981"/>
  <c r="B981"/>
  <c r="E980"/>
  <c r="B980"/>
  <c r="E979"/>
  <c r="B979"/>
  <c r="E978"/>
  <c r="B978"/>
  <c r="E977"/>
  <c r="B977"/>
  <c r="E976"/>
  <c r="B976"/>
  <c r="E975"/>
  <c r="B975"/>
  <c r="E974"/>
  <c r="B974"/>
  <c r="E973"/>
  <c r="B973"/>
  <c r="E972"/>
  <c r="B972"/>
  <c r="E971"/>
  <c r="B971"/>
  <c r="E970"/>
  <c r="B970"/>
  <c r="E969"/>
  <c r="B969"/>
  <c r="E968"/>
  <c r="B968"/>
  <c r="E967"/>
  <c r="B967"/>
  <c r="E966"/>
  <c r="B966"/>
  <c r="E965"/>
  <c r="B965"/>
  <c r="E964"/>
  <c r="B964"/>
  <c r="E963"/>
  <c r="B963"/>
  <c r="E962"/>
  <c r="B962"/>
  <c r="E961"/>
  <c r="B961"/>
  <c r="E960"/>
  <c r="B960"/>
  <c r="E959"/>
  <c r="B959"/>
  <c r="E958"/>
  <c r="B958"/>
  <c r="E957"/>
  <c r="B957"/>
  <c r="E956"/>
  <c r="B956"/>
  <c r="E955"/>
  <c r="B955"/>
  <c r="E954"/>
  <c r="B954"/>
  <c r="E953"/>
  <c r="B953"/>
  <c r="E952"/>
  <c r="B952"/>
  <c r="E951"/>
  <c r="B951"/>
  <c r="E950"/>
  <c r="B950"/>
  <c r="E949"/>
  <c r="B949"/>
  <c r="E948"/>
  <c r="B948"/>
  <c r="E947"/>
  <c r="B947"/>
  <c r="E946"/>
  <c r="B946"/>
  <c r="E945"/>
  <c r="B945"/>
  <c r="E944"/>
  <c r="B944"/>
  <c r="E943"/>
  <c r="B943"/>
  <c r="E942"/>
  <c r="B942"/>
  <c r="E941"/>
  <c r="B941"/>
  <c r="E940"/>
  <c r="B940"/>
  <c r="E939"/>
  <c r="B939"/>
  <c r="E938"/>
  <c r="B938"/>
  <c r="E937"/>
  <c r="B937"/>
  <c r="E936"/>
  <c r="B936"/>
  <c r="E935"/>
  <c r="B935"/>
  <c r="E934"/>
  <c r="B934"/>
  <c r="E933"/>
  <c r="B933"/>
  <c r="E932"/>
  <c r="B932"/>
  <c r="E931"/>
  <c r="B931"/>
  <c r="E930"/>
  <c r="B930"/>
  <c r="E929"/>
  <c r="B929"/>
  <c r="E928"/>
  <c r="B928"/>
  <c r="E927"/>
  <c r="B927"/>
  <c r="E926"/>
  <c r="B926"/>
  <c r="E925"/>
  <c r="B925"/>
  <c r="E924"/>
  <c r="B924"/>
  <c r="E923"/>
  <c r="B923"/>
  <c r="E922"/>
  <c r="B922"/>
  <c r="E921"/>
  <c r="B921"/>
  <c r="E920"/>
  <c r="B920"/>
  <c r="E919"/>
  <c r="B919"/>
  <c r="E918"/>
  <c r="B918"/>
  <c r="E917"/>
  <c r="B917"/>
  <c r="E916"/>
  <c r="B916"/>
  <c r="E915"/>
  <c r="B915"/>
  <c r="E914"/>
  <c r="B914"/>
  <c r="E913"/>
  <c r="B913"/>
  <c r="E912"/>
  <c r="B912"/>
  <c r="E911"/>
  <c r="B911"/>
  <c r="E910"/>
  <c r="B910"/>
  <c r="E909"/>
  <c r="B909"/>
  <c r="E908"/>
  <c r="B908"/>
  <c r="E907"/>
  <c r="B907"/>
  <c r="E906"/>
  <c r="B906"/>
  <c r="E905"/>
  <c r="B905"/>
  <c r="E904"/>
  <c r="B904"/>
  <c r="E903"/>
  <c r="B903"/>
  <c r="E902"/>
  <c r="B902"/>
  <c r="E901"/>
  <c r="B901"/>
  <c r="E900"/>
  <c r="B900"/>
  <c r="E899"/>
  <c r="B899"/>
  <c r="E898"/>
  <c r="B898"/>
  <c r="E897"/>
  <c r="B897"/>
  <c r="E896"/>
  <c r="B896"/>
  <c r="E895"/>
  <c r="B895"/>
  <c r="E894"/>
  <c r="B894"/>
  <c r="E893"/>
  <c r="B893"/>
  <c r="E892"/>
  <c r="B892"/>
  <c r="E891"/>
  <c r="B891"/>
  <c r="E890"/>
  <c r="B890"/>
  <c r="E889"/>
  <c r="B889"/>
  <c r="E888"/>
  <c r="B888"/>
  <c r="E887"/>
  <c r="B887"/>
  <c r="E886"/>
  <c r="B886"/>
  <c r="E885"/>
  <c r="B885"/>
  <c r="E884"/>
  <c r="B884"/>
  <c r="E883"/>
  <c r="B883"/>
  <c r="E882"/>
  <c r="B882"/>
  <c r="E881"/>
  <c r="B881"/>
  <c r="E880"/>
  <c r="B880"/>
  <c r="E879"/>
  <c r="B879"/>
  <c r="E878"/>
  <c r="B878"/>
  <c r="E877"/>
  <c r="B877"/>
  <c r="E876"/>
  <c r="B876"/>
  <c r="E875"/>
  <c r="B875"/>
  <c r="E874"/>
  <c r="B874"/>
  <c r="E873"/>
  <c r="B873"/>
  <c r="E872"/>
  <c r="B872"/>
  <c r="E871"/>
  <c r="B871"/>
  <c r="E870"/>
  <c r="B870"/>
  <c r="E869"/>
  <c r="B869"/>
  <c r="E868"/>
  <c r="B868"/>
  <c r="E867"/>
  <c r="B867"/>
  <c r="E866"/>
  <c r="B866"/>
  <c r="E865"/>
  <c r="B865"/>
  <c r="E864"/>
  <c r="B864"/>
  <c r="E863"/>
  <c r="B863"/>
  <c r="E862"/>
  <c r="B862"/>
  <c r="E861"/>
  <c r="B861"/>
  <c r="E860"/>
  <c r="B860"/>
  <c r="E859"/>
  <c r="B859"/>
  <c r="E858"/>
  <c r="B858"/>
  <c r="E857"/>
  <c r="B857"/>
  <c r="E856"/>
  <c r="B856"/>
  <c r="E855"/>
  <c r="B855"/>
  <c r="E854"/>
  <c r="B854"/>
  <c r="E853"/>
  <c r="B853"/>
  <c r="E852"/>
  <c r="B852"/>
  <c r="E851"/>
  <c r="B851"/>
  <c r="E850"/>
  <c r="B850"/>
  <c r="E849"/>
  <c r="B849"/>
  <c r="E848"/>
  <c r="B848"/>
  <c r="E847"/>
  <c r="B847"/>
  <c r="E846"/>
  <c r="B846"/>
  <c r="E845"/>
  <c r="B845"/>
  <c r="E844"/>
  <c r="B844"/>
  <c r="E843"/>
  <c r="B843"/>
  <c r="E842"/>
  <c r="B842"/>
  <c r="E841"/>
  <c r="B841"/>
  <c r="E840"/>
  <c r="B840"/>
  <c r="E839"/>
  <c r="B839"/>
  <c r="E838"/>
  <c r="B838"/>
  <c r="E837"/>
  <c r="B837"/>
  <c r="E836"/>
  <c r="B836"/>
  <c r="E835"/>
  <c r="B835"/>
  <c r="E834"/>
  <c r="B834"/>
  <c r="E833"/>
  <c r="B833"/>
  <c r="E832"/>
  <c r="B832"/>
  <c r="E831"/>
  <c r="B831"/>
  <c r="E830"/>
  <c r="B830"/>
  <c r="E829"/>
  <c r="B829"/>
  <c r="E828"/>
  <c r="B828"/>
  <c r="E827"/>
  <c r="B827"/>
  <c r="E826"/>
  <c r="B826"/>
  <c r="E825"/>
  <c r="B825"/>
  <c r="E824"/>
  <c r="B824"/>
  <c r="E823"/>
  <c r="B823"/>
  <c r="E822"/>
  <c r="B822"/>
  <c r="E821"/>
  <c r="B821"/>
  <c r="E820"/>
  <c r="B820"/>
  <c r="E819"/>
  <c r="B819"/>
  <c r="E818"/>
  <c r="B818"/>
  <c r="E817"/>
  <c r="B817"/>
  <c r="E816"/>
  <c r="B816"/>
  <c r="E815"/>
  <c r="B815"/>
  <c r="E814"/>
  <c r="B814"/>
  <c r="E813"/>
  <c r="B813"/>
  <c r="E812"/>
  <c r="B812"/>
  <c r="E811"/>
  <c r="B811"/>
  <c r="E810"/>
  <c r="B810"/>
  <c r="E809"/>
  <c r="B809"/>
  <c r="E808"/>
  <c r="B808"/>
  <c r="E807"/>
  <c r="B807"/>
  <c r="E806"/>
  <c r="B806"/>
  <c r="E805"/>
  <c r="B805"/>
  <c r="E804"/>
  <c r="B804"/>
  <c r="E803"/>
  <c r="B803"/>
  <c r="E802"/>
  <c r="B802"/>
  <c r="E801"/>
  <c r="B801"/>
  <c r="E800"/>
  <c r="B800"/>
  <c r="E799"/>
  <c r="B799"/>
  <c r="E798"/>
  <c r="B798"/>
  <c r="E797"/>
  <c r="B797"/>
  <c r="E796"/>
  <c r="B796"/>
  <c r="E795"/>
  <c r="B795"/>
  <c r="E794"/>
  <c r="B794"/>
  <c r="E793"/>
  <c r="B793"/>
  <c r="E792"/>
  <c r="B792"/>
  <c r="E791"/>
  <c r="B791"/>
  <c r="E790"/>
  <c r="B790"/>
  <c r="E789"/>
  <c r="B789"/>
  <c r="E788"/>
  <c r="B788"/>
  <c r="E787"/>
  <c r="B787"/>
  <c r="E786"/>
  <c r="B786"/>
  <c r="E785"/>
  <c r="B785"/>
  <c r="E784"/>
  <c r="B784"/>
  <c r="E783"/>
  <c r="B783"/>
  <c r="E782"/>
  <c r="B782"/>
  <c r="E781"/>
  <c r="B781"/>
  <c r="E780"/>
  <c r="B780"/>
  <c r="E779"/>
  <c r="B779"/>
  <c r="E778"/>
  <c r="B778"/>
  <c r="E777"/>
  <c r="B777"/>
  <c r="E776"/>
  <c r="B776"/>
  <c r="E775"/>
  <c r="B775"/>
  <c r="E774"/>
  <c r="B774"/>
  <c r="E773"/>
  <c r="B773"/>
  <c r="E772"/>
  <c r="B772"/>
  <c r="E771"/>
  <c r="B771"/>
  <c r="E770"/>
  <c r="B770"/>
  <c r="E769"/>
  <c r="B769"/>
  <c r="E768"/>
  <c r="B768"/>
  <c r="E767"/>
  <c r="B767"/>
  <c r="E766"/>
  <c r="B766"/>
  <c r="E765"/>
  <c r="B765"/>
  <c r="E764"/>
  <c r="B764"/>
  <c r="E763"/>
  <c r="B763"/>
  <c r="E762"/>
  <c r="B762"/>
  <c r="E761"/>
  <c r="B761"/>
  <c r="E760"/>
  <c r="B760"/>
  <c r="E759"/>
  <c r="B759"/>
  <c r="E758"/>
  <c r="B758"/>
  <c r="E757"/>
  <c r="B757"/>
  <c r="E756"/>
  <c r="B756"/>
  <c r="E755"/>
  <c r="B755"/>
  <c r="E754"/>
  <c r="B754"/>
  <c r="E753"/>
  <c r="B753"/>
  <c r="E752"/>
  <c r="B752"/>
  <c r="E751"/>
  <c r="B751"/>
  <c r="E750"/>
  <c r="B750"/>
  <c r="E749"/>
  <c r="B749"/>
  <c r="E748"/>
  <c r="B748"/>
  <c r="E747"/>
  <c r="B747"/>
  <c r="E746"/>
  <c r="B746"/>
  <c r="E745"/>
  <c r="B745"/>
  <c r="E744"/>
  <c r="B744"/>
  <c r="E743"/>
  <c r="B743"/>
  <c r="E742"/>
  <c r="B742"/>
  <c r="E741"/>
  <c r="B741"/>
  <c r="E740"/>
  <c r="B740"/>
  <c r="E739"/>
  <c r="B739"/>
  <c r="E738"/>
  <c r="B738"/>
  <c r="E737"/>
  <c r="B737"/>
  <c r="E736"/>
  <c r="B736"/>
  <c r="E735"/>
  <c r="B735"/>
  <c r="E734"/>
  <c r="B734"/>
  <c r="E733"/>
  <c r="B733"/>
  <c r="E732"/>
  <c r="B732"/>
  <c r="E731"/>
  <c r="B731"/>
  <c r="E730"/>
  <c r="B730"/>
  <c r="E729"/>
  <c r="B729"/>
  <c r="E728"/>
  <c r="B728"/>
  <c r="E727"/>
  <c r="B727"/>
  <c r="E726"/>
  <c r="B726"/>
  <c r="E725"/>
  <c r="B725"/>
  <c r="E724"/>
  <c r="B724"/>
  <c r="E723"/>
  <c r="B723"/>
  <c r="E722"/>
  <c r="B722"/>
  <c r="E721"/>
  <c r="B721"/>
  <c r="E720"/>
  <c r="B720"/>
  <c r="E719"/>
  <c r="B719"/>
  <c r="E718"/>
  <c r="B718"/>
  <c r="E717"/>
  <c r="B717"/>
  <c r="E716"/>
  <c r="B716"/>
  <c r="E715"/>
  <c r="B715"/>
  <c r="E714"/>
  <c r="B714"/>
  <c r="E713"/>
  <c r="B713"/>
  <c r="E712"/>
  <c r="B712"/>
  <c r="E711"/>
  <c r="B711"/>
  <c r="E710"/>
  <c r="B710"/>
  <c r="E709"/>
  <c r="B709"/>
  <c r="E708"/>
  <c r="B708"/>
  <c r="E707"/>
  <c r="B707"/>
  <c r="E706"/>
  <c r="B706"/>
  <c r="E705"/>
  <c r="B705"/>
  <c r="E704"/>
  <c r="B704"/>
  <c r="E703"/>
  <c r="B703"/>
  <c r="E702"/>
  <c r="B702"/>
  <c r="E701"/>
  <c r="B701"/>
  <c r="E700"/>
  <c r="B700"/>
  <c r="E699"/>
  <c r="B699"/>
  <c r="E698"/>
  <c r="B698"/>
  <c r="E697"/>
  <c r="B697"/>
  <c r="E696"/>
  <c r="B696"/>
  <c r="E695"/>
  <c r="B695"/>
  <c r="E694"/>
  <c r="B694"/>
  <c r="E693"/>
  <c r="B693"/>
  <c r="E692"/>
  <c r="B692"/>
  <c r="E691"/>
  <c r="B691"/>
  <c r="E690"/>
  <c r="B690"/>
  <c r="E689"/>
  <c r="B689"/>
  <c r="E688"/>
  <c r="B688"/>
  <c r="E687"/>
  <c r="B687"/>
  <c r="E686"/>
  <c r="B686"/>
  <c r="E685"/>
  <c r="B685"/>
  <c r="E684"/>
  <c r="B684"/>
  <c r="E683"/>
  <c r="B683"/>
  <c r="E682"/>
  <c r="B682"/>
  <c r="E681"/>
  <c r="B681"/>
  <c r="E680"/>
  <c r="B680"/>
  <c r="E679"/>
  <c r="B679"/>
  <c r="E678"/>
  <c r="B678"/>
  <c r="E677"/>
  <c r="B677"/>
  <c r="E676"/>
  <c r="B676"/>
  <c r="E675"/>
  <c r="B675"/>
  <c r="E674"/>
  <c r="B674"/>
  <c r="E673"/>
  <c r="B673"/>
  <c r="E672"/>
  <c r="B672"/>
  <c r="E671"/>
  <c r="B671"/>
  <c r="E670"/>
  <c r="B670"/>
  <c r="E669"/>
  <c r="B669"/>
  <c r="E668"/>
  <c r="B668"/>
  <c r="E667"/>
  <c r="B667"/>
  <c r="E666"/>
  <c r="B666"/>
  <c r="E665"/>
  <c r="B665"/>
  <c r="E664"/>
  <c r="B664"/>
  <c r="E663"/>
  <c r="B663"/>
  <c r="E662"/>
  <c r="B662"/>
  <c r="E661"/>
  <c r="B661"/>
  <c r="E660"/>
  <c r="B660"/>
  <c r="E659"/>
  <c r="B659"/>
  <c r="E658"/>
  <c r="B658"/>
  <c r="E657"/>
  <c r="B657"/>
  <c r="E656"/>
  <c r="B656"/>
  <c r="E655"/>
  <c r="B655"/>
  <c r="E654"/>
  <c r="B654"/>
  <c r="E653"/>
  <c r="B653"/>
  <c r="E652"/>
  <c r="B652"/>
  <c r="E651"/>
  <c r="B651"/>
  <c r="E650"/>
  <c r="B650"/>
  <c r="E649"/>
  <c r="B649"/>
  <c r="E648"/>
  <c r="B648"/>
  <c r="E647"/>
  <c r="B647"/>
  <c r="E646"/>
  <c r="B646"/>
  <c r="E645"/>
  <c r="B645"/>
  <c r="E644"/>
  <c r="B644"/>
  <c r="E643"/>
  <c r="B643"/>
  <c r="E642"/>
  <c r="B642"/>
  <c r="E641"/>
  <c r="B641"/>
  <c r="E640"/>
  <c r="B640"/>
  <c r="E639"/>
  <c r="B639"/>
  <c r="E638"/>
  <c r="B638"/>
  <c r="E637"/>
  <c r="B637"/>
  <c r="E636"/>
  <c r="B636"/>
  <c r="E635"/>
  <c r="B635"/>
  <c r="E634"/>
  <c r="B634"/>
  <c r="E633"/>
  <c r="B633"/>
  <c r="E632"/>
  <c r="B632"/>
  <c r="E631"/>
  <c r="B631"/>
  <c r="E630"/>
  <c r="B630"/>
  <c r="E629"/>
  <c r="B629"/>
  <c r="E628"/>
  <c r="B628"/>
  <c r="E627"/>
  <c r="B627"/>
  <c r="E626"/>
  <c r="B626"/>
  <c r="E625"/>
  <c r="B625"/>
  <c r="E624"/>
  <c r="B624"/>
  <c r="E623"/>
  <c r="B623"/>
  <c r="E622"/>
  <c r="B622"/>
  <c r="E621"/>
  <c r="B621"/>
  <c r="E620"/>
  <c r="B620"/>
  <c r="E619"/>
  <c r="B619"/>
  <c r="E618"/>
  <c r="B618"/>
  <c r="E617"/>
  <c r="B617"/>
  <c r="E616"/>
  <c r="B616"/>
  <c r="E615"/>
  <c r="B615"/>
  <c r="E614"/>
  <c r="B614"/>
  <c r="E613"/>
  <c r="B613"/>
  <c r="E612"/>
  <c r="B612"/>
  <c r="E611"/>
  <c r="B611"/>
  <c r="E610"/>
  <c r="B610"/>
  <c r="E609"/>
  <c r="B609"/>
  <c r="E608"/>
  <c r="B608"/>
  <c r="E607"/>
  <c r="B607"/>
  <c r="E606"/>
  <c r="B606"/>
  <c r="E605"/>
  <c r="B605"/>
  <c r="E604"/>
  <c r="B604"/>
  <c r="E603"/>
  <c r="B603"/>
  <c r="E602"/>
  <c r="B602"/>
  <c r="E601"/>
  <c r="B601"/>
  <c r="E600"/>
  <c r="B600"/>
  <c r="E599"/>
  <c r="B599"/>
  <c r="E598"/>
  <c r="B598"/>
  <c r="E597"/>
  <c r="B597"/>
  <c r="E596"/>
  <c r="B596"/>
  <c r="E595"/>
  <c r="B595"/>
  <c r="E594"/>
  <c r="B594"/>
  <c r="E593"/>
  <c r="B593"/>
  <c r="E592"/>
  <c r="B592"/>
  <c r="E591"/>
  <c r="B591"/>
  <c r="E590"/>
  <c r="B590"/>
  <c r="E589"/>
  <c r="B589"/>
  <c r="E588"/>
  <c r="B588"/>
  <c r="E587"/>
  <c r="B587"/>
  <c r="E586"/>
  <c r="B586"/>
  <c r="E585"/>
  <c r="B585"/>
  <c r="E584"/>
  <c r="B584"/>
  <c r="E583"/>
  <c r="B583"/>
  <c r="E582"/>
  <c r="B582"/>
  <c r="E581"/>
  <c r="B581"/>
  <c r="E580"/>
  <c r="B580"/>
  <c r="E579"/>
  <c r="B579"/>
  <c r="E578"/>
  <c r="B578"/>
  <c r="E577"/>
  <c r="B577"/>
  <c r="E576"/>
  <c r="B576"/>
  <c r="E575"/>
  <c r="B575"/>
  <c r="E574"/>
  <c r="B574"/>
  <c r="E573"/>
  <c r="B573"/>
  <c r="E572"/>
  <c r="B572"/>
  <c r="E571"/>
  <c r="B571"/>
  <c r="E570"/>
  <c r="B570"/>
  <c r="E569"/>
  <c r="B569"/>
  <c r="E568"/>
  <c r="B568"/>
  <c r="E567"/>
  <c r="B567"/>
  <c r="E566"/>
  <c r="B566"/>
  <c r="E565"/>
  <c r="B565"/>
  <c r="E564"/>
  <c r="B564"/>
  <c r="E563"/>
  <c r="B563"/>
  <c r="E562"/>
  <c r="B562"/>
  <c r="E561"/>
  <c r="B561"/>
  <c r="E560"/>
  <c r="B560"/>
  <c r="E559"/>
  <c r="B559"/>
  <c r="E558"/>
  <c r="B558"/>
  <c r="E557"/>
  <c r="B557"/>
  <c r="E556"/>
  <c r="B556"/>
  <c r="E555"/>
  <c r="B555"/>
  <c r="E554"/>
  <c r="B554"/>
  <c r="E553"/>
  <c r="B553"/>
  <c r="E552"/>
  <c r="B552"/>
  <c r="E551"/>
  <c r="B551"/>
  <c r="E550"/>
  <c r="B550"/>
  <c r="E549"/>
  <c r="B549"/>
  <c r="E548"/>
  <c r="B548"/>
  <c r="E547"/>
  <c r="B547"/>
  <c r="E546"/>
  <c r="B546"/>
  <c r="E545"/>
  <c r="B545"/>
  <c r="E544"/>
  <c r="B544"/>
  <c r="E543"/>
  <c r="B543"/>
  <c r="E542"/>
  <c r="B542"/>
  <c r="E541"/>
  <c r="B541"/>
  <c r="E540"/>
  <c r="B540"/>
  <c r="E539"/>
  <c r="B539"/>
  <c r="E538"/>
  <c r="B538"/>
  <c r="E537"/>
  <c r="B537"/>
  <c r="E536"/>
  <c r="B536"/>
  <c r="E535"/>
  <c r="B535"/>
  <c r="E534"/>
  <c r="B534"/>
  <c r="E533"/>
  <c r="B533"/>
  <c r="E532"/>
  <c r="B532"/>
  <c r="E531"/>
  <c r="B531"/>
  <c r="E530"/>
  <c r="B530"/>
  <c r="E529"/>
  <c r="B529"/>
  <c r="E528"/>
  <c r="B528"/>
  <c r="E527"/>
  <c r="B527"/>
  <c r="E526"/>
  <c r="B526"/>
  <c r="E525"/>
  <c r="B525"/>
  <c r="E524"/>
  <c r="B524"/>
  <c r="E523"/>
  <c r="B523"/>
  <c r="E522"/>
  <c r="B522"/>
  <c r="E521"/>
  <c r="B521"/>
  <c r="E520"/>
  <c r="B520"/>
  <c r="E519"/>
  <c r="B519"/>
  <c r="E518"/>
  <c r="B518"/>
  <c r="E517"/>
  <c r="B517"/>
  <c r="E516"/>
  <c r="B516"/>
  <c r="E515"/>
  <c r="B515"/>
  <c r="E514"/>
  <c r="B514"/>
  <c r="E513"/>
  <c r="B513"/>
  <c r="E512"/>
  <c r="B512"/>
  <c r="E511"/>
  <c r="B511"/>
  <c r="E510"/>
  <c r="B510"/>
  <c r="E509"/>
  <c r="B509"/>
  <c r="E508"/>
  <c r="B508"/>
  <c r="E507"/>
  <c r="B507"/>
  <c r="E506"/>
  <c r="B506"/>
  <c r="E505"/>
  <c r="B505"/>
  <c r="E504"/>
  <c r="B504"/>
  <c r="E503"/>
  <c r="B503"/>
  <c r="E502"/>
  <c r="B502"/>
  <c r="E501"/>
  <c r="B501"/>
  <c r="E500"/>
  <c r="B500"/>
  <c r="E499"/>
  <c r="B499"/>
  <c r="E498"/>
  <c r="B498"/>
  <c r="E497"/>
  <c r="B497"/>
  <c r="E496"/>
  <c r="B496"/>
  <c r="E495"/>
  <c r="B495"/>
  <c r="E494"/>
  <c r="B494"/>
  <c r="E493"/>
  <c r="B493"/>
  <c r="E492"/>
  <c r="B492"/>
  <c r="E491"/>
  <c r="B491"/>
  <c r="E490"/>
  <c r="B490"/>
  <c r="E489"/>
  <c r="B489"/>
  <c r="E488"/>
  <c r="B488"/>
  <c r="E487"/>
  <c r="B487"/>
  <c r="E486"/>
  <c r="B486"/>
  <c r="E485"/>
  <c r="B485"/>
  <c r="E484"/>
  <c r="B484"/>
  <c r="E483"/>
  <c r="B483"/>
  <c r="E482"/>
  <c r="B482"/>
  <c r="E481"/>
  <c r="B481"/>
  <c r="E480"/>
  <c r="B480"/>
  <c r="E479"/>
  <c r="B479"/>
  <c r="E478"/>
  <c r="B478"/>
  <c r="E477"/>
  <c r="B477"/>
  <c r="E476"/>
  <c r="B476"/>
  <c r="E475"/>
  <c r="B475"/>
  <c r="E474"/>
  <c r="B474"/>
  <c r="E473"/>
  <c r="B473"/>
  <c r="E472"/>
  <c r="B472"/>
  <c r="E471"/>
  <c r="B471"/>
  <c r="E470"/>
  <c r="B470"/>
  <c r="E469"/>
  <c r="B469"/>
  <c r="E468"/>
  <c r="B468"/>
  <c r="E467"/>
  <c r="B467"/>
  <c r="E466"/>
  <c r="B466"/>
  <c r="E465"/>
  <c r="B465"/>
  <c r="E464"/>
  <c r="B464"/>
  <c r="E463"/>
  <c r="B463"/>
  <c r="E462"/>
  <c r="B462"/>
  <c r="E461"/>
  <c r="B461"/>
  <c r="E460"/>
  <c r="B460"/>
  <c r="E459"/>
  <c r="B459"/>
  <c r="E458"/>
  <c r="B458"/>
  <c r="E457"/>
  <c r="B457"/>
  <c r="E456"/>
  <c r="B456"/>
  <c r="E455"/>
  <c r="B455"/>
  <c r="E454"/>
  <c r="B454"/>
  <c r="E453"/>
  <c r="B453"/>
  <c r="E452"/>
  <c r="B452"/>
  <c r="E451"/>
  <c r="B451"/>
  <c r="E450"/>
  <c r="B450"/>
  <c r="E449"/>
  <c r="B449"/>
  <c r="E448"/>
  <c r="B448"/>
  <c r="E447"/>
  <c r="B447"/>
  <c r="E446"/>
  <c r="B446"/>
  <c r="E445"/>
  <c r="B445"/>
  <c r="E444"/>
  <c r="B444"/>
  <c r="E443"/>
  <c r="B443"/>
  <c r="E442"/>
  <c r="B442"/>
  <c r="E441"/>
  <c r="B441"/>
  <c r="E440"/>
  <c r="B440"/>
  <c r="E439"/>
  <c r="B439"/>
  <c r="E438"/>
  <c r="B438"/>
  <c r="E437"/>
  <c r="B437"/>
  <c r="E436"/>
  <c r="B436"/>
  <c r="E435"/>
  <c r="B435"/>
  <c r="E434"/>
  <c r="B434"/>
  <c r="E433"/>
  <c r="B433"/>
  <c r="E432"/>
  <c r="B432"/>
  <c r="E431"/>
  <c r="B431"/>
  <c r="E430"/>
  <c r="B430"/>
  <c r="E429"/>
  <c r="B429"/>
  <c r="E428"/>
  <c r="B428"/>
  <c r="E427"/>
  <c r="B427"/>
  <c r="E426"/>
  <c r="B426"/>
  <c r="E425"/>
  <c r="B425"/>
  <c r="E424"/>
  <c r="B424"/>
  <c r="E423"/>
  <c r="B423"/>
  <c r="E422"/>
  <c r="B422"/>
  <c r="E421"/>
  <c r="B421"/>
  <c r="E420"/>
  <c r="B420"/>
  <c r="E419"/>
  <c r="B419"/>
  <c r="E418"/>
  <c r="B418"/>
  <c r="E417"/>
  <c r="B417"/>
  <c r="E416"/>
  <c r="B416"/>
  <c r="E415"/>
  <c r="B415"/>
  <c r="E414"/>
  <c r="B414"/>
  <c r="E413"/>
  <c r="B413"/>
  <c r="E412"/>
  <c r="B412"/>
  <c r="E411"/>
  <c r="B411"/>
  <c r="E410"/>
  <c r="B410"/>
  <c r="E409"/>
  <c r="B409"/>
  <c r="E408"/>
  <c r="B408"/>
  <c r="E407"/>
  <c r="B407"/>
  <c r="E406"/>
  <c r="B406"/>
  <c r="E405"/>
  <c r="B405"/>
  <c r="E404"/>
  <c r="B404"/>
  <c r="E403"/>
  <c r="B403"/>
  <c r="E402"/>
  <c r="B402"/>
  <c r="E401"/>
  <c r="B401"/>
  <c r="E400"/>
  <c r="B400"/>
  <c r="E399"/>
  <c r="B399"/>
  <c r="E398"/>
  <c r="B398"/>
  <c r="E397"/>
  <c r="B397"/>
  <c r="E396"/>
  <c r="B396"/>
  <c r="E395"/>
  <c r="B395"/>
  <c r="E394"/>
  <c r="B394"/>
  <c r="E393"/>
  <c r="B393"/>
  <c r="E392"/>
  <c r="B392"/>
  <c r="E391"/>
  <c r="B391"/>
  <c r="E390"/>
  <c r="B390"/>
  <c r="E389"/>
  <c r="B389"/>
  <c r="E388"/>
  <c r="B388"/>
  <c r="E387"/>
  <c r="B387"/>
  <c r="E386"/>
  <c r="B386"/>
  <c r="E385"/>
  <c r="B385"/>
  <c r="E384"/>
  <c r="B384"/>
  <c r="E383"/>
  <c r="B383"/>
  <c r="E382"/>
  <c r="B382"/>
  <c r="E381"/>
  <c r="B381"/>
  <c r="E380"/>
  <c r="B380"/>
  <c r="E379"/>
  <c r="B379"/>
  <c r="E378"/>
  <c r="B378"/>
  <c r="E377"/>
  <c r="B377"/>
  <c r="E376"/>
  <c r="B376"/>
  <c r="E375"/>
  <c r="B375"/>
  <c r="E374"/>
  <c r="B374"/>
  <c r="E373"/>
  <c r="B373"/>
  <c r="E372"/>
  <c r="B372"/>
  <c r="E371"/>
  <c r="B371"/>
  <c r="E370"/>
  <c r="B370"/>
  <c r="E369"/>
  <c r="B369"/>
  <c r="E368"/>
  <c r="B368"/>
  <c r="E367"/>
  <c r="B367"/>
  <c r="E366"/>
  <c r="B366"/>
  <c r="E365"/>
  <c r="B365"/>
  <c r="E364"/>
  <c r="B364"/>
  <c r="E363"/>
  <c r="B363"/>
  <c r="E362"/>
  <c r="B362"/>
  <c r="E361"/>
  <c r="B361"/>
  <c r="E360"/>
  <c r="B360"/>
  <c r="E359"/>
  <c r="B359"/>
  <c r="E358"/>
  <c r="B358"/>
  <c r="E357"/>
  <c r="B357"/>
  <c r="E356"/>
  <c r="B356"/>
  <c r="E355"/>
  <c r="B355"/>
  <c r="E354"/>
  <c r="B354"/>
  <c r="E353"/>
  <c r="B353"/>
  <c r="E352"/>
  <c r="B352"/>
  <c r="E351"/>
  <c r="B351"/>
  <c r="E350"/>
  <c r="B350"/>
  <c r="E349"/>
  <c r="B349"/>
  <c r="E348"/>
  <c r="B348"/>
  <c r="E347"/>
  <c r="B347"/>
  <c r="E346"/>
  <c r="B346"/>
  <c r="E345"/>
  <c r="B345"/>
  <c r="E344"/>
  <c r="B344"/>
  <c r="E343"/>
  <c r="B343"/>
  <c r="E342"/>
  <c r="B342"/>
  <c r="E341"/>
  <c r="B341"/>
  <c r="E340"/>
  <c r="B340"/>
  <c r="E339"/>
  <c r="B339"/>
  <c r="E338"/>
  <c r="B338"/>
  <c r="E337"/>
  <c r="B337"/>
  <c r="E336"/>
  <c r="B336"/>
  <c r="E335"/>
  <c r="B335"/>
  <c r="E334"/>
  <c r="B334"/>
  <c r="E333"/>
  <c r="B333"/>
  <c r="E332"/>
  <c r="B332"/>
  <c r="E331"/>
  <c r="B331"/>
  <c r="E330"/>
  <c r="B330"/>
  <c r="E329"/>
  <c r="B329"/>
  <c r="E328"/>
  <c r="B328"/>
  <c r="E327"/>
  <c r="B327"/>
  <c r="E326"/>
  <c r="B326"/>
  <c r="E325"/>
  <c r="B325"/>
  <c r="E324"/>
  <c r="B324"/>
  <c r="E323"/>
  <c r="B323"/>
  <c r="E322"/>
  <c r="B322"/>
  <c r="E321"/>
  <c r="B321"/>
  <c r="E320"/>
  <c r="B320"/>
  <c r="E319"/>
  <c r="B319"/>
  <c r="E318"/>
  <c r="B318"/>
  <c r="E317"/>
  <c r="B317"/>
  <c r="E316"/>
  <c r="B316"/>
  <c r="E315"/>
  <c r="B315"/>
  <c r="E314"/>
  <c r="B314"/>
  <c r="E313"/>
  <c r="B313"/>
  <c r="E312"/>
  <c r="B312"/>
  <c r="E311"/>
  <c r="B311"/>
  <c r="E310"/>
  <c r="B310"/>
  <c r="E309"/>
  <c r="B309"/>
  <c r="E308"/>
  <c r="B308"/>
  <c r="E307"/>
  <c r="B307"/>
  <c r="E306"/>
  <c r="B306"/>
  <c r="E305"/>
  <c r="B305"/>
  <c r="E304"/>
  <c r="B304"/>
  <c r="E303"/>
  <c r="B303"/>
  <c r="E302"/>
  <c r="B302"/>
  <c r="E301"/>
  <c r="B301"/>
  <c r="E300"/>
  <c r="B300"/>
  <c r="E299"/>
  <c r="B299"/>
  <c r="E298"/>
  <c r="B298"/>
  <c r="E297"/>
  <c r="B297"/>
  <c r="E296"/>
  <c r="B296"/>
  <c r="E295"/>
  <c r="B295"/>
  <c r="E294"/>
  <c r="B294"/>
  <c r="E293"/>
  <c r="B293"/>
  <c r="E292"/>
  <c r="B292"/>
  <c r="E291"/>
  <c r="B291"/>
  <c r="E290"/>
  <c r="B290"/>
  <c r="E289"/>
  <c r="B289"/>
  <c r="E288"/>
  <c r="B288"/>
  <c r="E287"/>
  <c r="B287"/>
  <c r="E286"/>
  <c r="B286"/>
  <c r="E285"/>
  <c r="B285"/>
  <c r="E284"/>
  <c r="B284"/>
  <c r="E283"/>
  <c r="B283"/>
  <c r="E282"/>
  <c r="B282"/>
  <c r="E281"/>
  <c r="B281"/>
  <c r="E280"/>
  <c r="B280"/>
  <c r="E279"/>
  <c r="B279"/>
  <c r="E278"/>
  <c r="B278"/>
  <c r="E277"/>
  <c r="B277"/>
  <c r="E276"/>
  <c r="B276"/>
  <c r="E275"/>
  <c r="B275"/>
  <c r="E274"/>
  <c r="B274"/>
  <c r="E273"/>
  <c r="B273"/>
  <c r="E272"/>
  <c r="B272"/>
  <c r="E271"/>
  <c r="B271"/>
  <c r="E270"/>
  <c r="B270"/>
  <c r="E269"/>
  <c r="B269"/>
  <c r="E268"/>
  <c r="B268"/>
  <c r="E267"/>
  <c r="B267"/>
  <c r="E266"/>
  <c r="B266"/>
  <c r="E265"/>
  <c r="B265"/>
  <c r="E264"/>
  <c r="B264"/>
  <c r="E263"/>
  <c r="B263"/>
  <c r="E262"/>
  <c r="B262"/>
  <c r="E261"/>
  <c r="B261"/>
  <c r="E260"/>
  <c r="B260"/>
  <c r="E259"/>
  <c r="B259"/>
  <c r="E258"/>
  <c r="B258"/>
  <c r="E257"/>
  <c r="B257"/>
  <c r="E256"/>
  <c r="B256"/>
  <c r="E255"/>
  <c r="B255"/>
  <c r="E254"/>
  <c r="B254"/>
  <c r="E253"/>
  <c r="B253"/>
  <c r="E252"/>
  <c r="B252"/>
  <c r="E251"/>
  <c r="B251"/>
  <c r="E250"/>
  <c r="B250"/>
  <c r="E249"/>
  <c r="B249"/>
  <c r="E248"/>
  <c r="B248"/>
  <c r="E247"/>
  <c r="B247"/>
  <c r="E246"/>
  <c r="B246"/>
  <c r="E245"/>
  <c r="B245"/>
  <c r="E244"/>
  <c r="B244"/>
  <c r="E243"/>
  <c r="B243"/>
  <c r="E242"/>
  <c r="B242"/>
  <c r="E241"/>
  <c r="B241"/>
  <c r="E240"/>
  <c r="B240"/>
  <c r="E239"/>
  <c r="B239"/>
  <c r="E238"/>
  <c r="B238"/>
  <c r="E237"/>
  <c r="B237"/>
  <c r="E236"/>
  <c r="B236"/>
  <c r="E235"/>
  <c r="B235"/>
  <c r="E234"/>
  <c r="B234"/>
  <c r="E233"/>
  <c r="B233"/>
  <c r="E232"/>
  <c r="B232"/>
  <c r="E231"/>
  <c r="B231"/>
  <c r="E230"/>
  <c r="B230"/>
  <c r="E229"/>
  <c r="B229"/>
  <c r="E228"/>
  <c r="B228"/>
  <c r="E227"/>
  <c r="B227"/>
  <c r="E226"/>
  <c r="B226"/>
  <c r="E225"/>
  <c r="B225"/>
  <c r="E224"/>
  <c r="B224"/>
  <c r="E223"/>
  <c r="B223"/>
  <c r="E222"/>
  <c r="B222"/>
  <c r="E221"/>
  <c r="B221"/>
  <c r="E220"/>
  <c r="B220"/>
  <c r="E219"/>
  <c r="B219"/>
  <c r="E218"/>
  <c r="B218"/>
  <c r="E217"/>
  <c r="B217"/>
  <c r="E216"/>
  <c r="B216"/>
  <c r="E215"/>
  <c r="B215"/>
  <c r="E214"/>
  <c r="B214"/>
  <c r="E213"/>
  <c r="B213"/>
  <c r="E212"/>
  <c r="B212"/>
  <c r="E211"/>
  <c r="B211"/>
  <c r="E210"/>
  <c r="B210"/>
  <c r="E209"/>
  <c r="B209"/>
  <c r="E208"/>
  <c r="B208"/>
  <c r="E207"/>
  <c r="B207"/>
  <c r="E206"/>
  <c r="B206"/>
  <c r="E205"/>
  <c r="B205"/>
  <c r="E204"/>
  <c r="B204"/>
  <c r="E203"/>
  <c r="B203"/>
  <c r="E202"/>
  <c r="B202"/>
  <c r="E201"/>
  <c r="B201"/>
  <c r="E200"/>
  <c r="B200"/>
  <c r="E199"/>
  <c r="B199"/>
  <c r="E198"/>
  <c r="B198"/>
  <c r="E197"/>
  <c r="B197"/>
  <c r="E196"/>
  <c r="B196"/>
  <c r="E195"/>
  <c r="B195"/>
  <c r="E194"/>
  <c r="B194"/>
  <c r="E193"/>
  <c r="B193"/>
  <c r="E192"/>
  <c r="B192"/>
  <c r="E191"/>
  <c r="B191"/>
  <c r="E190"/>
  <c r="B190"/>
  <c r="E189"/>
  <c r="B189"/>
  <c r="E188"/>
  <c r="B188"/>
  <c r="E187"/>
  <c r="B187"/>
  <c r="E186"/>
  <c r="B186"/>
  <c r="E185"/>
  <c r="B185"/>
  <c r="E184"/>
  <c r="B184"/>
  <c r="E183"/>
  <c r="B183"/>
  <c r="E182"/>
  <c r="B182"/>
  <c r="E181"/>
  <c r="B181"/>
  <c r="E180"/>
  <c r="B180"/>
  <c r="E179"/>
  <c r="B179"/>
  <c r="E178"/>
  <c r="B178"/>
  <c r="E177"/>
  <c r="B177"/>
  <c r="E176"/>
  <c r="B176"/>
  <c r="E175"/>
  <c r="B175"/>
  <c r="E174"/>
  <c r="B174"/>
  <c r="E173"/>
  <c r="B173"/>
  <c r="E172"/>
  <c r="B172"/>
  <c r="E171"/>
  <c r="B171"/>
  <c r="E170"/>
  <c r="B170"/>
  <c r="E169"/>
  <c r="B169"/>
  <c r="E168"/>
  <c r="B168"/>
  <c r="E167"/>
  <c r="B167"/>
  <c r="E166"/>
  <c r="B166"/>
  <c r="E165"/>
  <c r="B165"/>
  <c r="E164"/>
  <c r="B164"/>
  <c r="E163"/>
  <c r="B163"/>
  <c r="E162"/>
  <c r="B162"/>
  <c r="E161"/>
  <c r="B161"/>
  <c r="E160"/>
  <c r="B160"/>
  <c r="E159"/>
  <c r="B159"/>
  <c r="E158"/>
  <c r="B158"/>
  <c r="E157"/>
  <c r="B157"/>
  <c r="E156"/>
  <c r="B156"/>
  <c r="E155"/>
  <c r="B155"/>
  <c r="E154"/>
  <c r="B154"/>
  <c r="E153"/>
  <c r="B153"/>
  <c r="E152"/>
  <c r="B152"/>
  <c r="E151"/>
  <c r="B151"/>
  <c r="E150"/>
  <c r="B150"/>
  <c r="E149"/>
  <c r="B149"/>
  <c r="E148"/>
  <c r="B148"/>
  <c r="E147"/>
  <c r="B147"/>
  <c r="E146"/>
  <c r="B146"/>
  <c r="E145"/>
  <c r="B145"/>
  <c r="E144"/>
  <c r="B144"/>
  <c r="E143"/>
  <c r="B143"/>
  <c r="E142"/>
  <c r="B142"/>
  <c r="E141"/>
  <c r="B141"/>
  <c r="E140"/>
  <c r="B140"/>
  <c r="E139"/>
  <c r="B139"/>
  <c r="E138"/>
  <c r="B138"/>
  <c r="E137"/>
  <c r="B137"/>
  <c r="E136"/>
  <c r="B136"/>
  <c r="E135"/>
  <c r="B135"/>
  <c r="E134"/>
  <c r="B134"/>
  <c r="E133"/>
  <c r="B133"/>
  <c r="E132"/>
  <c r="B132"/>
  <c r="E131"/>
  <c r="B131"/>
  <c r="E130"/>
  <c r="B130"/>
  <c r="E129"/>
  <c r="B129"/>
  <c r="E128"/>
  <c r="B128"/>
  <c r="E127"/>
  <c r="B127"/>
  <c r="E126"/>
  <c r="B126"/>
  <c r="E125"/>
  <c r="B125"/>
  <c r="E124"/>
  <c r="B124"/>
  <c r="E123"/>
  <c r="B123"/>
  <c r="E122"/>
  <c r="B122"/>
  <c r="E121"/>
  <c r="B121"/>
  <c r="E120"/>
  <c r="B120"/>
  <c r="E119"/>
  <c r="B119"/>
  <c r="E118"/>
  <c r="B118"/>
  <c r="E117"/>
  <c r="B117"/>
  <c r="E116"/>
  <c r="B116"/>
  <c r="E115"/>
  <c r="B115"/>
  <c r="E114"/>
  <c r="B114"/>
  <c r="E113"/>
  <c r="B113"/>
  <c r="E112"/>
  <c r="B112"/>
  <c r="E111"/>
  <c r="B111"/>
  <c r="E110"/>
  <c r="B110"/>
  <c r="E109"/>
  <c r="B109"/>
  <c r="E108"/>
  <c r="B108"/>
  <c r="E107"/>
  <c r="B107"/>
  <c r="E106"/>
  <c r="B106"/>
  <c r="E105"/>
  <c r="B105"/>
  <c r="E104"/>
  <c r="B104"/>
  <c r="E103"/>
  <c r="B103"/>
  <c r="E102"/>
  <c r="B102"/>
  <c r="E101"/>
  <c r="B101"/>
  <c r="E100"/>
  <c r="B100"/>
  <c r="E99"/>
  <c r="B99"/>
  <c r="E98"/>
  <c r="B98"/>
  <c r="E97"/>
  <c r="B97"/>
  <c r="E96"/>
  <c r="B96"/>
  <c r="E95"/>
  <c r="B95"/>
  <c r="E94"/>
  <c r="B94"/>
  <c r="E93"/>
  <c r="B93"/>
  <c r="E92"/>
  <c r="B92"/>
  <c r="E91"/>
  <c r="B91"/>
  <c r="E90"/>
  <c r="B90"/>
  <c r="E89"/>
  <c r="B89"/>
  <c r="E88"/>
  <c r="B88"/>
  <c r="E87"/>
  <c r="B87"/>
  <c r="E86"/>
  <c r="B86"/>
  <c r="E85"/>
  <c r="B85"/>
  <c r="E84"/>
  <c r="B84"/>
  <c r="E83"/>
  <c r="B83"/>
  <c r="E82"/>
  <c r="B82"/>
  <c r="E81"/>
  <c r="B81"/>
  <c r="E80"/>
  <c r="B80"/>
  <c r="E79"/>
  <c r="B79"/>
  <c r="E78"/>
  <c r="B78"/>
  <c r="E77"/>
  <c r="B77"/>
  <c r="E76"/>
  <c r="B76"/>
  <c r="E75"/>
  <c r="B75"/>
  <c r="E74"/>
  <c r="B74"/>
  <c r="E73"/>
  <c r="B73"/>
  <c r="E72"/>
  <c r="B72"/>
  <c r="E71"/>
  <c r="B71"/>
  <c r="E70"/>
  <c r="B70"/>
  <c r="E69"/>
  <c r="B69"/>
  <c r="E68"/>
  <c r="B68"/>
  <c r="E67"/>
  <c r="B67"/>
  <c r="E66"/>
  <c r="B66"/>
  <c r="E65"/>
  <c r="B65"/>
  <c r="E64"/>
  <c r="B64"/>
  <c r="E63"/>
  <c r="B63"/>
  <c r="E62"/>
  <c r="B62"/>
  <c r="E61"/>
  <c r="B61"/>
  <c r="E60"/>
  <c r="B60"/>
  <c r="E59"/>
  <c r="B59"/>
  <c r="E58"/>
  <c r="B58"/>
  <c r="E57"/>
  <c r="B57"/>
  <c r="E56"/>
  <c r="B56"/>
  <c r="E55"/>
  <c r="B55"/>
  <c r="E54"/>
  <c r="B54"/>
  <c r="E53"/>
  <c r="B53"/>
  <c r="E52"/>
  <c r="B52"/>
  <c r="E51"/>
  <c r="B51"/>
  <c r="E50"/>
  <c r="B50"/>
  <c r="E49"/>
  <c r="B49"/>
  <c r="E48"/>
  <c r="B48"/>
  <c r="E47"/>
  <c r="B47"/>
  <c r="E46"/>
  <c r="B46"/>
  <c r="E45"/>
  <c r="B45"/>
  <c r="E44"/>
  <c r="B44"/>
  <c r="E43"/>
  <c r="B43"/>
  <c r="E42"/>
  <c r="B42"/>
  <c r="E41"/>
  <c r="B41"/>
  <c r="E40"/>
  <c r="B40"/>
  <c r="E39"/>
  <c r="B39"/>
  <c r="E38"/>
  <c r="B38"/>
  <c r="E37"/>
  <c r="B37"/>
  <c r="E36"/>
  <c r="B36"/>
  <c r="E35"/>
  <c r="B35"/>
  <c r="E34"/>
  <c r="B34"/>
  <c r="E33"/>
  <c r="B33"/>
  <c r="E32"/>
  <c r="B32"/>
  <c r="E31"/>
  <c r="B31"/>
  <c r="E30"/>
  <c r="B30"/>
  <c r="E29"/>
  <c r="B29"/>
  <c r="E28"/>
  <c r="B28"/>
  <c r="E27"/>
  <c r="B27"/>
  <c r="E26"/>
  <c r="B26"/>
  <c r="E25"/>
  <c r="B25"/>
  <c r="E24"/>
  <c r="B24"/>
  <c r="E23"/>
  <c r="B23"/>
  <c r="E22"/>
  <c r="B22"/>
  <c r="E21"/>
  <c r="B21"/>
  <c r="E20"/>
  <c r="B20"/>
  <c r="E19"/>
  <c r="B19"/>
  <c r="E18"/>
  <c r="B18"/>
  <c r="E17"/>
  <c r="B17"/>
  <c r="E16"/>
  <c r="B16"/>
  <c r="E15"/>
  <c r="B15"/>
  <c r="E14"/>
  <c r="B14"/>
  <c r="E13"/>
  <c r="B13"/>
  <c r="E12"/>
  <c r="B12"/>
  <c r="E11"/>
  <c r="B11"/>
  <c r="E10"/>
  <c r="B10"/>
  <c r="E9"/>
  <c r="B9"/>
  <c r="E8"/>
  <c r="B8"/>
  <c r="E7"/>
  <c r="B7"/>
  <c r="E6"/>
  <c r="B6"/>
  <c r="E5"/>
  <c r="B5"/>
  <c r="E4"/>
  <c r="B4"/>
  <c r="E3"/>
  <c r="B3"/>
</calcChain>
</file>

<file path=xl/sharedStrings.xml><?xml version="1.0" encoding="utf-8"?>
<sst xmlns="http://schemas.openxmlformats.org/spreadsheetml/2006/main" count="7627" uniqueCount="209">
  <si>
    <t>2020年度淮北市事业单位公开招聘笔试成绩（含加分）</t>
    <phoneticPr fontId="2" type="noConversion"/>
  </si>
  <si>
    <t>岗位代码</t>
    <phoneticPr fontId="2" type="noConversion"/>
  </si>
  <si>
    <t>准考证号码</t>
    <phoneticPr fontId="2" type="noConversion"/>
  </si>
  <si>
    <t>公共基础知识成绩</t>
    <phoneticPr fontId="2" type="noConversion"/>
  </si>
  <si>
    <t>职业能力测试成绩</t>
    <phoneticPr fontId="2" type="noConversion"/>
  </si>
  <si>
    <t>笔试合成成绩</t>
    <phoneticPr fontId="2" type="noConversion"/>
  </si>
  <si>
    <t>备注</t>
    <phoneticPr fontId="2" type="noConversion"/>
  </si>
  <si>
    <t>2020001-专业技术</t>
  </si>
  <si>
    <t>缺考</t>
    <phoneticPr fontId="2" type="noConversion"/>
  </si>
  <si>
    <t>2020002-管理</t>
  </si>
  <si>
    <t>公共基础知识缺考</t>
    <phoneticPr fontId="2" type="noConversion"/>
  </si>
  <si>
    <t>2020003-管理</t>
  </si>
  <si>
    <t>2020004-专业技术</t>
  </si>
  <si>
    <t>含加分</t>
    <phoneticPr fontId="2" type="noConversion"/>
  </si>
  <si>
    <t>2020005-管理</t>
  </si>
  <si>
    <t>2020006-专业技术</t>
  </si>
  <si>
    <t>2020007-专业技术</t>
  </si>
  <si>
    <t>2020008-管理</t>
  </si>
  <si>
    <t>2020009-专业技术</t>
  </si>
  <si>
    <t>2020010-专业技术</t>
  </si>
  <si>
    <t>2020011-专业技术</t>
  </si>
  <si>
    <t>2020012-专业技术</t>
  </si>
  <si>
    <t>2020013-专业技术</t>
  </si>
  <si>
    <t>2020014-专业技术</t>
  </si>
  <si>
    <t>2020015-专业技术</t>
  </si>
  <si>
    <t>2020016-专业技术</t>
  </si>
  <si>
    <t>2020017-专业技术</t>
  </si>
  <si>
    <t>2020018-专业技术</t>
  </si>
  <si>
    <t>2020019-专业技术</t>
  </si>
  <si>
    <t>2020020-专业技术</t>
  </si>
  <si>
    <t>2020021-专业技术</t>
  </si>
  <si>
    <t>2020022-专业技术</t>
  </si>
  <si>
    <t>2020023-专业技术</t>
  </si>
  <si>
    <t>2020024-专业技术</t>
  </si>
  <si>
    <t>2020025-专业技术</t>
  </si>
  <si>
    <t>2020026-专业技术</t>
  </si>
  <si>
    <t>职业能力测试缺考</t>
    <phoneticPr fontId="2" type="noConversion"/>
  </si>
  <si>
    <t>2020027-专业技术</t>
  </si>
  <si>
    <t>2020028-管理</t>
  </si>
  <si>
    <t>2020029-管理</t>
  </si>
  <si>
    <t>2020030-管理</t>
  </si>
  <si>
    <t>2020031-专业技术</t>
  </si>
  <si>
    <t>2020032-专业技术</t>
  </si>
  <si>
    <t>2020033-专业技术</t>
  </si>
  <si>
    <t>2020034-管理</t>
  </si>
  <si>
    <t>2020035-专业技术</t>
  </si>
  <si>
    <t>2020036-专业技术</t>
  </si>
  <si>
    <t>2020037-专业技术</t>
  </si>
  <si>
    <t>2020038-专业技术</t>
  </si>
  <si>
    <t>2020039-专业技术</t>
  </si>
  <si>
    <t>2020040-管理</t>
  </si>
  <si>
    <t>2020041-专业技术</t>
  </si>
  <si>
    <t>2020042-专业技术</t>
  </si>
  <si>
    <t>2020043-专业技术</t>
  </si>
  <si>
    <t>2020044-专业技术</t>
  </si>
  <si>
    <t>2020045-专业技术</t>
  </si>
  <si>
    <t>2020046-专业技术</t>
  </si>
  <si>
    <t>2020047-专业技术</t>
  </si>
  <si>
    <t>2020048-专业技术</t>
  </si>
  <si>
    <t>2020049-专业技术</t>
  </si>
  <si>
    <t>2020050-专业技术</t>
  </si>
  <si>
    <t>2020051-专业技术</t>
  </si>
  <si>
    <t>2020052-专业技术</t>
  </si>
  <si>
    <t>2020053-管理</t>
  </si>
  <si>
    <t>2020054-专业技术</t>
  </si>
  <si>
    <t>2020055-专业技术</t>
  </si>
  <si>
    <t>2020056-专业技术</t>
  </si>
  <si>
    <t>2020057-专业技术</t>
  </si>
  <si>
    <t>2020058-专业技术</t>
  </si>
  <si>
    <t>2020059-管理</t>
  </si>
  <si>
    <t>2020060-专业技术</t>
  </si>
  <si>
    <t>2020061-管理</t>
  </si>
  <si>
    <t>2020062-管理</t>
  </si>
  <si>
    <t>2020063-管理</t>
  </si>
  <si>
    <t>2020064-专业技术</t>
  </si>
  <si>
    <t>2020065-专业技术</t>
  </si>
  <si>
    <t>2020066-专业技术</t>
  </si>
  <si>
    <t>2020067-专业技术</t>
  </si>
  <si>
    <t>2020068-管理</t>
  </si>
  <si>
    <t>2020069-管理</t>
  </si>
  <si>
    <t>2020070-管理</t>
  </si>
  <si>
    <t>2020072-专业技术</t>
  </si>
  <si>
    <t>2020073-专业技术</t>
  </si>
  <si>
    <t>2020074-管理</t>
  </si>
  <si>
    <t>2020075-管理</t>
  </si>
  <si>
    <t>2020077-专业技术</t>
  </si>
  <si>
    <t>2020078-专业技术</t>
  </si>
  <si>
    <t>2020079-专业技术</t>
  </si>
  <si>
    <t>2020080-管理</t>
  </si>
  <si>
    <t>2020081-管理</t>
  </si>
  <si>
    <t>2020082-管理</t>
  </si>
  <si>
    <t>2020083-专业技术</t>
  </si>
  <si>
    <t>2020084-专业技术</t>
  </si>
  <si>
    <t>2020085-专业技术</t>
  </si>
  <si>
    <t>2020086-专业技术</t>
  </si>
  <si>
    <t>2020087-管理</t>
  </si>
  <si>
    <t>2020088-专业技术</t>
  </si>
  <si>
    <t>2020089-专业技术</t>
  </si>
  <si>
    <t>2020090-管理</t>
  </si>
  <si>
    <t>2020091-专业技术</t>
  </si>
  <si>
    <t>2020092-管理</t>
  </si>
  <si>
    <t>2020093-专业技术</t>
  </si>
  <si>
    <t>2020094-专业技术</t>
  </si>
  <si>
    <t>2020095-专业技术</t>
  </si>
  <si>
    <t>2020096-专业技术</t>
  </si>
  <si>
    <t>2020097-专业技术</t>
  </si>
  <si>
    <t>2020098-专业技术</t>
  </si>
  <si>
    <t>2020099-管理</t>
  </si>
  <si>
    <t>2020100-管理</t>
  </si>
  <si>
    <t>2020101-管理</t>
  </si>
  <si>
    <t>2020102-管理</t>
  </si>
  <si>
    <t>未作答</t>
    <phoneticPr fontId="2" type="noConversion"/>
  </si>
  <si>
    <t>2020103-管理</t>
  </si>
  <si>
    <t>2020104-专业技术</t>
  </si>
  <si>
    <t>2020105-管理</t>
  </si>
  <si>
    <t>2020106-管理</t>
  </si>
  <si>
    <t>2020107-专业技术</t>
  </si>
  <si>
    <t>2020108-管理</t>
  </si>
  <si>
    <t>2020109-专业技术</t>
  </si>
  <si>
    <t>2020110-管理</t>
  </si>
  <si>
    <t>2020111-专业技术</t>
  </si>
  <si>
    <t>2020114-专业技术</t>
  </si>
  <si>
    <t>2020119-专业技术</t>
  </si>
  <si>
    <t>2020121-专业技术</t>
  </si>
  <si>
    <t>2020122-专业技术</t>
  </si>
  <si>
    <t>2020123-管理</t>
  </si>
  <si>
    <t>2020124-专业技术</t>
  </si>
  <si>
    <t>2020125-专业技术</t>
  </si>
  <si>
    <t>2020126-专业技术</t>
  </si>
  <si>
    <t>2020127-专业技术</t>
  </si>
  <si>
    <t>2020128-专业技术</t>
  </si>
  <si>
    <t>2020129-管理</t>
  </si>
  <si>
    <t>2020130-管理</t>
  </si>
  <si>
    <t>2020131-专业技术</t>
  </si>
  <si>
    <t>2020132-管理</t>
  </si>
  <si>
    <t>2020133-管理</t>
  </si>
  <si>
    <t>2020134-管理</t>
  </si>
  <si>
    <t>2020135-专业技术</t>
  </si>
  <si>
    <t>2020136-管理</t>
  </si>
  <si>
    <t>2020137-管理</t>
  </si>
  <si>
    <t>2020138-专业技术</t>
  </si>
  <si>
    <t>2020139-专业技术</t>
  </si>
  <si>
    <t>2020140-管理</t>
  </si>
  <si>
    <t>2020141-专业技术</t>
  </si>
  <si>
    <t>2020142-专业技术</t>
  </si>
  <si>
    <t>2020143-专业技术</t>
  </si>
  <si>
    <t>2020144-专业技术</t>
  </si>
  <si>
    <t>2020145-专业技术</t>
  </si>
  <si>
    <t>2020147-专业技术</t>
  </si>
  <si>
    <t>2020148-专业技术</t>
  </si>
  <si>
    <t>2020149-专业技术</t>
  </si>
  <si>
    <t>2020150-专业技术</t>
  </si>
  <si>
    <t>2020151-专业技术</t>
  </si>
  <si>
    <t>2020152-专业技术</t>
  </si>
  <si>
    <t>2020153-专业技术</t>
  </si>
  <si>
    <t>2020154-专业技术</t>
  </si>
  <si>
    <t>2020155-管理</t>
  </si>
  <si>
    <t>2020156-专业技术</t>
  </si>
  <si>
    <t>2020158-专业技术</t>
  </si>
  <si>
    <t>2020159-专业技术</t>
  </si>
  <si>
    <t>2020160-管理</t>
  </si>
  <si>
    <t>2020162-专业技术</t>
  </si>
  <si>
    <t>2020163-专业技术</t>
  </si>
  <si>
    <t>2020165-专业技术</t>
  </si>
  <si>
    <t>2020168-管理</t>
  </si>
  <si>
    <t>2020169-专业技术</t>
  </si>
  <si>
    <t>2020170-专业技术</t>
  </si>
  <si>
    <t>2020171-管理</t>
  </si>
  <si>
    <t>2020172-专业技术</t>
  </si>
  <si>
    <t>2020173-专业技术</t>
  </si>
  <si>
    <t>2020174-专业技术</t>
  </si>
  <si>
    <t>2020175-专业技术</t>
  </si>
  <si>
    <t>2020176-专业技术</t>
  </si>
  <si>
    <t>2020177-专业技术</t>
  </si>
  <si>
    <t>2020181-专业技术</t>
  </si>
  <si>
    <t>2020182-专业技术</t>
  </si>
  <si>
    <t>2020183-管理</t>
  </si>
  <si>
    <t>2020184-专业技术</t>
  </si>
  <si>
    <t>2020185-专业技术</t>
  </si>
  <si>
    <t>2020186-专业技术</t>
  </si>
  <si>
    <t>2020187-专业技术</t>
  </si>
  <si>
    <t>2020188-管理</t>
  </si>
  <si>
    <t>2020189-管理</t>
  </si>
  <si>
    <t>2020190-管理</t>
  </si>
  <si>
    <t>2020191-专业技术</t>
  </si>
  <si>
    <t>2020192-专业技术</t>
  </si>
  <si>
    <t>2020193-专业技术</t>
  </si>
  <si>
    <t>2020194-专业技术</t>
  </si>
  <si>
    <t>2020195-专业技术</t>
  </si>
  <si>
    <t>2020196-专业技术</t>
  </si>
  <si>
    <t>2020197-专业技术</t>
  </si>
  <si>
    <t>2020198-专业技术</t>
  </si>
  <si>
    <t>2020199-专业技术</t>
  </si>
  <si>
    <t>2020200-专业技术</t>
  </si>
  <si>
    <t>2020201-专业技术</t>
  </si>
  <si>
    <t>2020202-专业技术</t>
  </si>
  <si>
    <t>2020203-专业技术</t>
  </si>
  <si>
    <t>2020204-专业技术</t>
  </si>
  <si>
    <t>2020205-管理</t>
  </si>
  <si>
    <t>2020206-管理</t>
  </si>
  <si>
    <t>2020207-专业技术</t>
  </si>
  <si>
    <t>2020209-专业技术</t>
  </si>
  <si>
    <t>2020210-专业技术</t>
  </si>
  <si>
    <t>2020211-专业技术</t>
  </si>
  <si>
    <t>2020212-管理岗</t>
  </si>
  <si>
    <t>2020213-专业技术</t>
  </si>
  <si>
    <t>2020214-专业技术</t>
  </si>
  <si>
    <t>2020215-专业技术</t>
  </si>
  <si>
    <t>2020216-管理</t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</si>
</sst>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name val="Arial"/>
      <family val="2"/>
    </font>
    <font>
      <sz val="10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4" fillId="0" borderId="2" xfId="1" applyNumberFormat="1" applyFill="1" applyBorder="1" applyAlignment="1">
      <alignment horizontal="center" vertical="center"/>
    </xf>
    <xf numFmtId="0" fontId="4" fillId="0" borderId="2" xfId="1" applyBorder="1" applyAlignment="1">
      <alignment horizontal="center"/>
    </xf>
    <xf numFmtId="49" fontId="4" fillId="0" borderId="2" xfId="1" applyNumberFormat="1" applyBorder="1" applyAlignment="1">
      <alignment horizont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111"/>
  <sheetViews>
    <sheetView tabSelected="1" topLeftCell="A263" workbookViewId="0">
      <selection activeCell="A114" sqref="A114:F114"/>
    </sheetView>
  </sheetViews>
  <sheetFormatPr defaultRowHeight="13.5"/>
  <cols>
    <col min="1" max="1" width="18.375" customWidth="1"/>
    <col min="2" max="2" width="14.5" customWidth="1"/>
    <col min="3" max="3" width="10.875" customWidth="1"/>
    <col min="4" max="4" width="11.25" customWidth="1"/>
    <col min="5" max="5" width="10" customWidth="1"/>
    <col min="6" max="6" width="18.5" customWidth="1"/>
  </cols>
  <sheetData>
    <row r="1" spans="1:6" ht="52.5" customHeight="1">
      <c r="A1" s="12" t="s">
        <v>0</v>
      </c>
      <c r="B1" s="12"/>
      <c r="C1" s="12"/>
      <c r="D1" s="12"/>
      <c r="E1" s="12"/>
      <c r="F1" s="12"/>
    </row>
    <row r="2" spans="1:6" ht="30.75" customHeight="1">
      <c r="A2" s="1" t="s">
        <v>1</v>
      </c>
      <c r="B2" s="1" t="s">
        <v>2</v>
      </c>
      <c r="C2" s="2" t="s">
        <v>3</v>
      </c>
      <c r="D2" s="3" t="s">
        <v>4</v>
      </c>
      <c r="E2" s="3" t="s">
        <v>5</v>
      </c>
      <c r="F2" s="1" t="s">
        <v>6</v>
      </c>
    </row>
    <row r="3" spans="1:6" ht="18" customHeight="1">
      <c r="A3" s="4" t="s">
        <v>7</v>
      </c>
      <c r="B3" s="4" t="str">
        <f>"2020013920"</f>
        <v>2020013920</v>
      </c>
      <c r="C3" s="5">
        <v>73.5</v>
      </c>
      <c r="D3" s="6">
        <v>80.5</v>
      </c>
      <c r="E3" s="7">
        <f t="shared" ref="E3:E66" si="0">SUM(C3:D3)</f>
        <v>154</v>
      </c>
      <c r="F3" s="8"/>
    </row>
    <row r="4" spans="1:6" ht="18" customHeight="1">
      <c r="A4" s="4" t="s">
        <v>7</v>
      </c>
      <c r="B4" s="4" t="str">
        <f>"2020032523"</f>
        <v>2020032523</v>
      </c>
      <c r="C4" s="5">
        <v>65</v>
      </c>
      <c r="D4" s="6">
        <v>87.5</v>
      </c>
      <c r="E4" s="7">
        <f t="shared" si="0"/>
        <v>152.5</v>
      </c>
      <c r="F4" s="8"/>
    </row>
    <row r="5" spans="1:6" ht="18" customHeight="1">
      <c r="A5" s="4" t="s">
        <v>7</v>
      </c>
      <c r="B5" s="4" t="str">
        <f>"2020031209"</f>
        <v>2020031209</v>
      </c>
      <c r="C5" s="5">
        <v>66.3</v>
      </c>
      <c r="D5" s="6">
        <v>71.5</v>
      </c>
      <c r="E5" s="7">
        <f t="shared" si="0"/>
        <v>137.80000000000001</v>
      </c>
      <c r="F5" s="8"/>
    </row>
    <row r="6" spans="1:6" ht="18" customHeight="1">
      <c r="A6" s="4" t="s">
        <v>7</v>
      </c>
      <c r="B6" s="4" t="str">
        <f>"2020011703"</f>
        <v>2020011703</v>
      </c>
      <c r="C6" s="5">
        <v>71.099999999999994</v>
      </c>
      <c r="D6" s="6">
        <v>64</v>
      </c>
      <c r="E6" s="7">
        <f t="shared" si="0"/>
        <v>135.1</v>
      </c>
      <c r="F6" s="8"/>
    </row>
    <row r="7" spans="1:6" ht="18" customHeight="1">
      <c r="A7" s="4" t="s">
        <v>7</v>
      </c>
      <c r="B7" s="4" t="str">
        <f>"2020022023"</f>
        <v>2020022023</v>
      </c>
      <c r="C7" s="5">
        <v>69.2</v>
      </c>
      <c r="D7" s="6">
        <v>64.5</v>
      </c>
      <c r="E7" s="7">
        <f t="shared" si="0"/>
        <v>133.69999999999999</v>
      </c>
      <c r="F7" s="8"/>
    </row>
    <row r="8" spans="1:6" ht="18" customHeight="1">
      <c r="A8" s="4" t="s">
        <v>7</v>
      </c>
      <c r="B8" s="4" t="str">
        <f>"2020041925"</f>
        <v>2020041925</v>
      </c>
      <c r="C8" s="5">
        <v>66.099999999999994</v>
      </c>
      <c r="D8" s="6">
        <v>65.5</v>
      </c>
      <c r="E8" s="7">
        <f t="shared" si="0"/>
        <v>131.6</v>
      </c>
      <c r="F8" s="8"/>
    </row>
    <row r="9" spans="1:6" ht="18" customHeight="1">
      <c r="A9" s="4" t="s">
        <v>7</v>
      </c>
      <c r="B9" s="4" t="str">
        <f>"2020021002"</f>
        <v>2020021002</v>
      </c>
      <c r="C9" s="5">
        <v>61.7</v>
      </c>
      <c r="D9" s="6">
        <v>68</v>
      </c>
      <c r="E9" s="7">
        <f t="shared" si="0"/>
        <v>129.69999999999999</v>
      </c>
      <c r="F9" s="8"/>
    </row>
    <row r="10" spans="1:6" ht="18" customHeight="1">
      <c r="A10" s="4" t="s">
        <v>7</v>
      </c>
      <c r="B10" s="4" t="str">
        <f>"2020021014"</f>
        <v>2020021014</v>
      </c>
      <c r="C10" s="5">
        <v>57.1</v>
      </c>
      <c r="D10" s="6">
        <v>60</v>
      </c>
      <c r="E10" s="7">
        <f t="shared" si="0"/>
        <v>117.1</v>
      </c>
      <c r="F10" s="8"/>
    </row>
    <row r="11" spans="1:6" ht="18" customHeight="1">
      <c r="A11" s="4" t="s">
        <v>7</v>
      </c>
      <c r="B11" s="4" t="str">
        <f>"2020012204"</f>
        <v>2020012204</v>
      </c>
      <c r="C11" s="5">
        <v>53.7</v>
      </c>
      <c r="D11" s="6">
        <v>57.5</v>
      </c>
      <c r="E11" s="7">
        <f t="shared" si="0"/>
        <v>111.2</v>
      </c>
      <c r="F11" s="8"/>
    </row>
    <row r="12" spans="1:6" ht="18" customHeight="1">
      <c r="A12" s="4" t="s">
        <v>7</v>
      </c>
      <c r="B12" s="4" t="str">
        <f>"2020013322"</f>
        <v>2020013322</v>
      </c>
      <c r="C12" s="5">
        <v>0</v>
      </c>
      <c r="D12" s="6">
        <v>0</v>
      </c>
      <c r="E12" s="7">
        <f t="shared" si="0"/>
        <v>0</v>
      </c>
      <c r="F12" s="9" t="s">
        <v>8</v>
      </c>
    </row>
    <row r="13" spans="1:6" ht="18" customHeight="1">
      <c r="A13" s="4" t="s">
        <v>7</v>
      </c>
      <c r="B13" s="4" t="str">
        <f>"2020032011"</f>
        <v>2020032011</v>
      </c>
      <c r="C13" s="5">
        <v>0</v>
      </c>
      <c r="D13" s="6">
        <v>0</v>
      </c>
      <c r="E13" s="7">
        <f t="shared" si="0"/>
        <v>0</v>
      </c>
      <c r="F13" s="8" t="s">
        <v>8</v>
      </c>
    </row>
    <row r="14" spans="1:6" ht="18" customHeight="1">
      <c r="A14" s="4" t="s">
        <v>7</v>
      </c>
      <c r="B14" s="4" t="str">
        <f>"2020041118"</f>
        <v>2020041118</v>
      </c>
      <c r="C14" s="5">
        <v>0</v>
      </c>
      <c r="D14" s="6">
        <v>0</v>
      </c>
      <c r="E14" s="7">
        <f t="shared" si="0"/>
        <v>0</v>
      </c>
      <c r="F14" s="8" t="s">
        <v>8</v>
      </c>
    </row>
    <row r="15" spans="1:6" ht="18" customHeight="1">
      <c r="A15" s="4" t="s">
        <v>7</v>
      </c>
      <c r="B15" s="4" t="str">
        <f>"2020041609"</f>
        <v>2020041609</v>
      </c>
      <c r="C15" s="5">
        <v>0</v>
      </c>
      <c r="D15" s="6">
        <v>0</v>
      </c>
      <c r="E15" s="7">
        <f t="shared" si="0"/>
        <v>0</v>
      </c>
      <c r="F15" s="8" t="s">
        <v>8</v>
      </c>
    </row>
    <row r="16" spans="1:6" ht="18" customHeight="1">
      <c r="A16" s="4" t="s">
        <v>7</v>
      </c>
      <c r="B16" s="4" t="str">
        <f>"2020044811"</f>
        <v>2020044811</v>
      </c>
      <c r="C16" s="5">
        <v>0</v>
      </c>
      <c r="D16" s="6">
        <v>0</v>
      </c>
      <c r="E16" s="7">
        <f t="shared" si="0"/>
        <v>0</v>
      </c>
      <c r="F16" s="8" t="s">
        <v>8</v>
      </c>
    </row>
    <row r="17" spans="1:6" ht="18" customHeight="1">
      <c r="A17" s="4" t="s">
        <v>9</v>
      </c>
      <c r="B17" s="4" t="str">
        <f>"2020032819"</f>
        <v>2020032819</v>
      </c>
      <c r="C17" s="5">
        <v>73.400000000000006</v>
      </c>
      <c r="D17" s="6">
        <v>82</v>
      </c>
      <c r="E17" s="7">
        <f t="shared" si="0"/>
        <v>155.4</v>
      </c>
      <c r="F17" s="8"/>
    </row>
    <row r="18" spans="1:6" ht="18" customHeight="1">
      <c r="A18" s="4" t="s">
        <v>9</v>
      </c>
      <c r="B18" s="4" t="str">
        <f>"2020023424"</f>
        <v>2020023424</v>
      </c>
      <c r="C18" s="5">
        <v>74.400000000000006</v>
      </c>
      <c r="D18" s="6">
        <v>78</v>
      </c>
      <c r="E18" s="7">
        <f t="shared" si="0"/>
        <v>152.4</v>
      </c>
      <c r="F18" s="8"/>
    </row>
    <row r="19" spans="1:6" ht="18" customHeight="1">
      <c r="A19" s="4" t="s">
        <v>9</v>
      </c>
      <c r="B19" s="4" t="str">
        <f>"2020010303"</f>
        <v>2020010303</v>
      </c>
      <c r="C19" s="5">
        <v>70.3</v>
      </c>
      <c r="D19" s="6">
        <v>80.5</v>
      </c>
      <c r="E19" s="7">
        <f t="shared" si="0"/>
        <v>150.80000000000001</v>
      </c>
      <c r="F19" s="8"/>
    </row>
    <row r="20" spans="1:6" ht="18" customHeight="1">
      <c r="A20" s="4" t="s">
        <v>9</v>
      </c>
      <c r="B20" s="4" t="str">
        <f>"2020041802"</f>
        <v>2020041802</v>
      </c>
      <c r="C20" s="5">
        <v>76.5</v>
      </c>
      <c r="D20" s="6">
        <v>73.5</v>
      </c>
      <c r="E20" s="7">
        <f t="shared" si="0"/>
        <v>150</v>
      </c>
      <c r="F20" s="8"/>
    </row>
    <row r="21" spans="1:6" ht="18" customHeight="1">
      <c r="A21" s="4" t="s">
        <v>9</v>
      </c>
      <c r="B21" s="4" t="str">
        <f>"2020043211"</f>
        <v>2020043211</v>
      </c>
      <c r="C21" s="5">
        <v>67.900000000000006</v>
      </c>
      <c r="D21" s="6">
        <v>82</v>
      </c>
      <c r="E21" s="7">
        <f t="shared" si="0"/>
        <v>149.9</v>
      </c>
      <c r="F21" s="8"/>
    </row>
    <row r="22" spans="1:6" ht="18" customHeight="1">
      <c r="A22" s="4" t="s">
        <v>9</v>
      </c>
      <c r="B22" s="4" t="str">
        <f>"2020042101"</f>
        <v>2020042101</v>
      </c>
      <c r="C22" s="5">
        <v>68.400000000000006</v>
      </c>
      <c r="D22" s="6">
        <v>80.5</v>
      </c>
      <c r="E22" s="7">
        <f t="shared" si="0"/>
        <v>148.9</v>
      </c>
      <c r="F22" s="8"/>
    </row>
    <row r="23" spans="1:6" ht="18" customHeight="1">
      <c r="A23" s="4" t="s">
        <v>9</v>
      </c>
      <c r="B23" s="4" t="str">
        <f>"2020012812"</f>
        <v>2020012812</v>
      </c>
      <c r="C23" s="5">
        <v>63.8</v>
      </c>
      <c r="D23" s="6">
        <v>84.5</v>
      </c>
      <c r="E23" s="7">
        <f t="shared" si="0"/>
        <v>148.30000000000001</v>
      </c>
      <c r="F23" s="8"/>
    </row>
    <row r="24" spans="1:6" ht="18" customHeight="1">
      <c r="A24" s="4" t="s">
        <v>9</v>
      </c>
      <c r="B24" s="4" t="str">
        <f>"2020031023"</f>
        <v>2020031023</v>
      </c>
      <c r="C24" s="5">
        <v>69.099999999999994</v>
      </c>
      <c r="D24" s="6">
        <v>74.5</v>
      </c>
      <c r="E24" s="7">
        <f t="shared" si="0"/>
        <v>143.6</v>
      </c>
      <c r="F24" s="8"/>
    </row>
    <row r="25" spans="1:6" ht="18" customHeight="1">
      <c r="A25" s="4" t="s">
        <v>9</v>
      </c>
      <c r="B25" s="4" t="str">
        <f>"2020011405"</f>
        <v>2020011405</v>
      </c>
      <c r="C25" s="5">
        <v>74.2</v>
      </c>
      <c r="D25" s="6">
        <v>69</v>
      </c>
      <c r="E25" s="7">
        <f t="shared" si="0"/>
        <v>143.19999999999999</v>
      </c>
      <c r="F25" s="8"/>
    </row>
    <row r="26" spans="1:6" ht="18" customHeight="1">
      <c r="A26" s="4" t="s">
        <v>9</v>
      </c>
      <c r="B26" s="4" t="str">
        <f>"2020042626"</f>
        <v>2020042626</v>
      </c>
      <c r="C26" s="5">
        <v>67.099999999999994</v>
      </c>
      <c r="D26" s="6">
        <v>75.5</v>
      </c>
      <c r="E26" s="7">
        <f t="shared" si="0"/>
        <v>142.6</v>
      </c>
      <c r="F26" s="8"/>
    </row>
    <row r="27" spans="1:6" ht="18" customHeight="1">
      <c r="A27" s="4" t="s">
        <v>9</v>
      </c>
      <c r="B27" s="4" t="str">
        <f>"2020012617"</f>
        <v>2020012617</v>
      </c>
      <c r="C27" s="5">
        <v>69.3</v>
      </c>
      <c r="D27" s="6">
        <v>73</v>
      </c>
      <c r="E27" s="7">
        <f t="shared" si="0"/>
        <v>142.30000000000001</v>
      </c>
      <c r="F27" s="8"/>
    </row>
    <row r="28" spans="1:6" ht="18" customHeight="1">
      <c r="A28" s="4" t="s">
        <v>9</v>
      </c>
      <c r="B28" s="4" t="str">
        <f>"2020012613"</f>
        <v>2020012613</v>
      </c>
      <c r="C28" s="5">
        <v>74.900000000000006</v>
      </c>
      <c r="D28" s="6">
        <v>67</v>
      </c>
      <c r="E28" s="7">
        <f t="shared" si="0"/>
        <v>141.9</v>
      </c>
      <c r="F28" s="8"/>
    </row>
    <row r="29" spans="1:6" ht="18" customHeight="1">
      <c r="A29" s="4" t="s">
        <v>9</v>
      </c>
      <c r="B29" s="4" t="str">
        <f>"2020040417"</f>
        <v>2020040417</v>
      </c>
      <c r="C29" s="5">
        <v>70</v>
      </c>
      <c r="D29" s="6">
        <v>70</v>
      </c>
      <c r="E29" s="7">
        <f t="shared" si="0"/>
        <v>140</v>
      </c>
      <c r="F29" s="8"/>
    </row>
    <row r="30" spans="1:6" ht="18" customHeight="1">
      <c r="A30" s="4" t="s">
        <v>9</v>
      </c>
      <c r="B30" s="4" t="str">
        <f>"2020033414"</f>
        <v>2020033414</v>
      </c>
      <c r="C30" s="5">
        <v>69.5</v>
      </c>
      <c r="D30" s="6">
        <v>70</v>
      </c>
      <c r="E30" s="7">
        <f t="shared" si="0"/>
        <v>139.5</v>
      </c>
      <c r="F30" s="8"/>
    </row>
    <row r="31" spans="1:6" ht="18" customHeight="1">
      <c r="A31" s="4" t="s">
        <v>9</v>
      </c>
      <c r="B31" s="4" t="str">
        <f>"2020020308"</f>
        <v>2020020308</v>
      </c>
      <c r="C31" s="5">
        <v>70.7</v>
      </c>
      <c r="D31" s="6">
        <v>67</v>
      </c>
      <c r="E31" s="7">
        <f t="shared" si="0"/>
        <v>137.69999999999999</v>
      </c>
      <c r="F31" s="8"/>
    </row>
    <row r="32" spans="1:6" ht="18" customHeight="1">
      <c r="A32" s="4" t="s">
        <v>9</v>
      </c>
      <c r="B32" s="4" t="str">
        <f>"2020012125"</f>
        <v>2020012125</v>
      </c>
      <c r="C32" s="5">
        <v>65.5</v>
      </c>
      <c r="D32" s="6">
        <v>71</v>
      </c>
      <c r="E32" s="7">
        <f t="shared" si="0"/>
        <v>136.5</v>
      </c>
      <c r="F32" s="8"/>
    </row>
    <row r="33" spans="1:6" ht="18" customHeight="1">
      <c r="A33" s="4" t="s">
        <v>9</v>
      </c>
      <c r="B33" s="4" t="str">
        <f>"2020020230"</f>
        <v>2020020230</v>
      </c>
      <c r="C33" s="5">
        <v>64.5</v>
      </c>
      <c r="D33" s="6">
        <v>72</v>
      </c>
      <c r="E33" s="7">
        <f t="shared" si="0"/>
        <v>136.5</v>
      </c>
      <c r="F33" s="8"/>
    </row>
    <row r="34" spans="1:6" ht="18" customHeight="1">
      <c r="A34" s="4" t="s">
        <v>9</v>
      </c>
      <c r="B34" s="4" t="str">
        <f>"2020021406"</f>
        <v>2020021406</v>
      </c>
      <c r="C34" s="5">
        <v>58.7</v>
      </c>
      <c r="D34" s="6">
        <v>77.5</v>
      </c>
      <c r="E34" s="7">
        <f t="shared" si="0"/>
        <v>136.19999999999999</v>
      </c>
      <c r="F34" s="8"/>
    </row>
    <row r="35" spans="1:6" ht="18" customHeight="1">
      <c r="A35" s="4" t="s">
        <v>9</v>
      </c>
      <c r="B35" s="4" t="str">
        <f>"2020040327"</f>
        <v>2020040327</v>
      </c>
      <c r="C35" s="5">
        <v>66.3</v>
      </c>
      <c r="D35" s="6">
        <v>67.5</v>
      </c>
      <c r="E35" s="7">
        <f t="shared" si="0"/>
        <v>133.80000000000001</v>
      </c>
      <c r="F35" s="8"/>
    </row>
    <row r="36" spans="1:6" ht="18" customHeight="1">
      <c r="A36" s="4" t="s">
        <v>9</v>
      </c>
      <c r="B36" s="4" t="str">
        <f>"2020033424"</f>
        <v>2020033424</v>
      </c>
      <c r="C36" s="5">
        <v>68.7</v>
      </c>
      <c r="D36" s="6">
        <v>65</v>
      </c>
      <c r="E36" s="7">
        <f t="shared" si="0"/>
        <v>133.69999999999999</v>
      </c>
      <c r="F36" s="8"/>
    </row>
    <row r="37" spans="1:6" ht="18" customHeight="1">
      <c r="A37" s="4" t="s">
        <v>9</v>
      </c>
      <c r="B37" s="4" t="str">
        <f>"2020040102"</f>
        <v>2020040102</v>
      </c>
      <c r="C37" s="5">
        <v>61.2</v>
      </c>
      <c r="D37" s="6">
        <v>72.5</v>
      </c>
      <c r="E37" s="7">
        <f t="shared" si="0"/>
        <v>133.69999999999999</v>
      </c>
      <c r="F37" s="8"/>
    </row>
    <row r="38" spans="1:6" ht="18" customHeight="1">
      <c r="A38" s="4" t="s">
        <v>9</v>
      </c>
      <c r="B38" s="4" t="str">
        <f>"2020021109"</f>
        <v>2020021109</v>
      </c>
      <c r="C38" s="5">
        <v>65.099999999999994</v>
      </c>
      <c r="D38" s="6">
        <v>68.5</v>
      </c>
      <c r="E38" s="7">
        <f t="shared" si="0"/>
        <v>133.6</v>
      </c>
      <c r="F38" s="8"/>
    </row>
    <row r="39" spans="1:6" ht="18" customHeight="1">
      <c r="A39" s="4" t="s">
        <v>9</v>
      </c>
      <c r="B39" s="4" t="str">
        <f>"2020046422"</f>
        <v>2020046422</v>
      </c>
      <c r="C39" s="5">
        <v>60.7</v>
      </c>
      <c r="D39" s="6">
        <v>72.5</v>
      </c>
      <c r="E39" s="7">
        <f t="shared" si="0"/>
        <v>133.19999999999999</v>
      </c>
      <c r="F39" s="8"/>
    </row>
    <row r="40" spans="1:6" ht="18" customHeight="1">
      <c r="A40" s="4" t="s">
        <v>9</v>
      </c>
      <c r="B40" s="4" t="str">
        <f>"2020031718"</f>
        <v>2020031718</v>
      </c>
      <c r="C40" s="5">
        <v>64.099999999999994</v>
      </c>
      <c r="D40" s="6">
        <v>69</v>
      </c>
      <c r="E40" s="7">
        <f t="shared" si="0"/>
        <v>133.1</v>
      </c>
      <c r="F40" s="8"/>
    </row>
    <row r="41" spans="1:6" ht="18" customHeight="1">
      <c r="A41" s="4" t="s">
        <v>9</v>
      </c>
      <c r="B41" s="4" t="str">
        <f>"2020022223"</f>
        <v>2020022223</v>
      </c>
      <c r="C41" s="5">
        <v>71.400000000000006</v>
      </c>
      <c r="D41" s="6">
        <v>61.5</v>
      </c>
      <c r="E41" s="7">
        <f t="shared" si="0"/>
        <v>132.9</v>
      </c>
      <c r="F41" s="8"/>
    </row>
    <row r="42" spans="1:6" ht="18" customHeight="1">
      <c r="A42" s="4" t="s">
        <v>9</v>
      </c>
      <c r="B42" s="4" t="str">
        <f>"2020045417"</f>
        <v>2020045417</v>
      </c>
      <c r="C42" s="5">
        <v>71.8</v>
      </c>
      <c r="D42" s="6">
        <v>60.5</v>
      </c>
      <c r="E42" s="7">
        <f t="shared" si="0"/>
        <v>132.30000000000001</v>
      </c>
      <c r="F42" s="8"/>
    </row>
    <row r="43" spans="1:6" ht="18" customHeight="1">
      <c r="A43" s="4" t="s">
        <v>9</v>
      </c>
      <c r="B43" s="4" t="str">
        <f>"2020032512"</f>
        <v>2020032512</v>
      </c>
      <c r="C43" s="5">
        <v>72.5</v>
      </c>
      <c r="D43" s="6">
        <v>59</v>
      </c>
      <c r="E43" s="7">
        <f t="shared" si="0"/>
        <v>131.5</v>
      </c>
      <c r="F43" s="8"/>
    </row>
    <row r="44" spans="1:6" ht="18" customHeight="1">
      <c r="A44" s="4" t="s">
        <v>9</v>
      </c>
      <c r="B44" s="4" t="str">
        <f>"2020044927"</f>
        <v>2020044927</v>
      </c>
      <c r="C44" s="5">
        <v>64</v>
      </c>
      <c r="D44" s="6">
        <v>67</v>
      </c>
      <c r="E44" s="7">
        <f t="shared" si="0"/>
        <v>131</v>
      </c>
      <c r="F44" s="8"/>
    </row>
    <row r="45" spans="1:6" ht="18" customHeight="1">
      <c r="A45" s="4" t="s">
        <v>9</v>
      </c>
      <c r="B45" s="4" t="str">
        <f>"2020041527"</f>
        <v>2020041527</v>
      </c>
      <c r="C45" s="5">
        <v>65.7</v>
      </c>
      <c r="D45" s="6">
        <v>65</v>
      </c>
      <c r="E45" s="7">
        <f t="shared" si="0"/>
        <v>130.69999999999999</v>
      </c>
      <c r="F45" s="8"/>
    </row>
    <row r="46" spans="1:6" ht="18" customHeight="1">
      <c r="A46" s="4" t="s">
        <v>9</v>
      </c>
      <c r="B46" s="4" t="str">
        <f>"2020046628"</f>
        <v>2020046628</v>
      </c>
      <c r="C46" s="5">
        <v>70.5</v>
      </c>
      <c r="D46" s="6">
        <v>58.5</v>
      </c>
      <c r="E46" s="7">
        <f t="shared" si="0"/>
        <v>129</v>
      </c>
      <c r="F46" s="8"/>
    </row>
    <row r="47" spans="1:6" ht="18" customHeight="1">
      <c r="A47" s="4" t="s">
        <v>9</v>
      </c>
      <c r="B47" s="4" t="str">
        <f>"2020030409"</f>
        <v>2020030409</v>
      </c>
      <c r="C47" s="5">
        <v>58.1</v>
      </c>
      <c r="D47" s="6">
        <v>69.5</v>
      </c>
      <c r="E47" s="7">
        <f t="shared" si="0"/>
        <v>127.6</v>
      </c>
      <c r="F47" s="8"/>
    </row>
    <row r="48" spans="1:6" ht="18" customHeight="1">
      <c r="A48" s="4" t="s">
        <v>9</v>
      </c>
      <c r="B48" s="4" t="str">
        <f>"2020011627"</f>
        <v>2020011627</v>
      </c>
      <c r="C48" s="5">
        <v>65.7</v>
      </c>
      <c r="D48" s="6">
        <v>61</v>
      </c>
      <c r="E48" s="7">
        <f t="shared" si="0"/>
        <v>126.7</v>
      </c>
      <c r="F48" s="8"/>
    </row>
    <row r="49" spans="1:6" ht="18" customHeight="1">
      <c r="A49" s="4" t="s">
        <v>9</v>
      </c>
      <c r="B49" s="4" t="str">
        <f>"2020013624"</f>
        <v>2020013624</v>
      </c>
      <c r="C49" s="5">
        <v>62.7</v>
      </c>
      <c r="D49" s="6">
        <v>64</v>
      </c>
      <c r="E49" s="7">
        <f t="shared" si="0"/>
        <v>126.7</v>
      </c>
      <c r="F49" s="8"/>
    </row>
    <row r="50" spans="1:6" ht="18" customHeight="1">
      <c r="A50" s="4" t="s">
        <v>9</v>
      </c>
      <c r="B50" s="4" t="str">
        <f>"2020024828"</f>
        <v>2020024828</v>
      </c>
      <c r="C50" s="5">
        <v>62.5</v>
      </c>
      <c r="D50" s="6">
        <v>64</v>
      </c>
      <c r="E50" s="7">
        <f t="shared" si="0"/>
        <v>126.5</v>
      </c>
      <c r="F50" s="8"/>
    </row>
    <row r="51" spans="1:6" ht="18" customHeight="1">
      <c r="A51" s="4" t="s">
        <v>9</v>
      </c>
      <c r="B51" s="4" t="str">
        <f>"2020021714"</f>
        <v>2020021714</v>
      </c>
      <c r="C51" s="5">
        <v>68.099999999999994</v>
      </c>
      <c r="D51" s="6">
        <v>58</v>
      </c>
      <c r="E51" s="7">
        <f t="shared" si="0"/>
        <v>126.1</v>
      </c>
      <c r="F51" s="8"/>
    </row>
    <row r="52" spans="1:6" ht="18" customHeight="1">
      <c r="A52" s="4" t="s">
        <v>9</v>
      </c>
      <c r="B52" s="4" t="str">
        <f>"2020013210"</f>
        <v>2020013210</v>
      </c>
      <c r="C52" s="5">
        <v>62.9</v>
      </c>
      <c r="D52" s="6">
        <v>62.5</v>
      </c>
      <c r="E52" s="7">
        <f t="shared" si="0"/>
        <v>125.4</v>
      </c>
      <c r="F52" s="8"/>
    </row>
    <row r="53" spans="1:6" ht="18" customHeight="1">
      <c r="A53" s="4" t="s">
        <v>9</v>
      </c>
      <c r="B53" s="4" t="str">
        <f>"2020024615"</f>
        <v>2020024615</v>
      </c>
      <c r="C53" s="5">
        <v>61.8</v>
      </c>
      <c r="D53" s="6">
        <v>63.5</v>
      </c>
      <c r="E53" s="7">
        <f t="shared" si="0"/>
        <v>125.3</v>
      </c>
      <c r="F53" s="8"/>
    </row>
    <row r="54" spans="1:6" ht="18" customHeight="1">
      <c r="A54" s="4" t="s">
        <v>9</v>
      </c>
      <c r="B54" s="4" t="str">
        <f>"2020011517"</f>
        <v>2020011517</v>
      </c>
      <c r="C54" s="5">
        <v>69.2</v>
      </c>
      <c r="D54" s="6">
        <v>54</v>
      </c>
      <c r="E54" s="7">
        <f t="shared" si="0"/>
        <v>123.2</v>
      </c>
      <c r="F54" s="8"/>
    </row>
    <row r="55" spans="1:6" ht="18" customHeight="1">
      <c r="A55" s="4" t="s">
        <v>9</v>
      </c>
      <c r="B55" s="4" t="str">
        <f>"2020010212"</f>
        <v>2020010212</v>
      </c>
      <c r="C55" s="5">
        <v>58.5</v>
      </c>
      <c r="D55" s="6">
        <v>64.5</v>
      </c>
      <c r="E55" s="7">
        <f t="shared" si="0"/>
        <v>123</v>
      </c>
      <c r="F55" s="8"/>
    </row>
    <row r="56" spans="1:6" ht="18" customHeight="1">
      <c r="A56" s="4" t="s">
        <v>9</v>
      </c>
      <c r="B56" s="4" t="str">
        <f>"2020022802"</f>
        <v>2020022802</v>
      </c>
      <c r="C56" s="5">
        <v>61.9</v>
      </c>
      <c r="D56" s="6">
        <v>60.5</v>
      </c>
      <c r="E56" s="7">
        <f t="shared" si="0"/>
        <v>122.4</v>
      </c>
      <c r="F56" s="8"/>
    </row>
    <row r="57" spans="1:6" ht="18" customHeight="1">
      <c r="A57" s="4" t="s">
        <v>9</v>
      </c>
      <c r="B57" s="4" t="str">
        <f>"2020043923"</f>
        <v>2020043923</v>
      </c>
      <c r="C57" s="5">
        <v>62.7</v>
      </c>
      <c r="D57" s="6">
        <v>58</v>
      </c>
      <c r="E57" s="7">
        <f t="shared" si="0"/>
        <v>120.7</v>
      </c>
      <c r="F57" s="8"/>
    </row>
    <row r="58" spans="1:6" ht="18" customHeight="1">
      <c r="A58" s="4" t="s">
        <v>9</v>
      </c>
      <c r="B58" s="4" t="str">
        <f>"2020023229"</f>
        <v>2020023229</v>
      </c>
      <c r="C58" s="5">
        <v>60.7</v>
      </c>
      <c r="D58" s="6">
        <v>60</v>
      </c>
      <c r="E58" s="7">
        <f t="shared" si="0"/>
        <v>120.7</v>
      </c>
      <c r="F58" s="8"/>
    </row>
    <row r="59" spans="1:6" ht="18" customHeight="1">
      <c r="A59" s="4" t="s">
        <v>9</v>
      </c>
      <c r="B59" s="4" t="str">
        <f>"2020032417"</f>
        <v>2020032417</v>
      </c>
      <c r="C59" s="5">
        <v>62.6</v>
      </c>
      <c r="D59" s="6">
        <v>58</v>
      </c>
      <c r="E59" s="7">
        <f t="shared" si="0"/>
        <v>120.6</v>
      </c>
      <c r="F59" s="8"/>
    </row>
    <row r="60" spans="1:6" ht="18" customHeight="1">
      <c r="A60" s="4" t="s">
        <v>9</v>
      </c>
      <c r="B60" s="4" t="str">
        <f>"2020024313"</f>
        <v>2020024313</v>
      </c>
      <c r="C60" s="5">
        <v>69</v>
      </c>
      <c r="D60" s="6">
        <v>50</v>
      </c>
      <c r="E60" s="7">
        <f t="shared" si="0"/>
        <v>119</v>
      </c>
      <c r="F60" s="8"/>
    </row>
    <row r="61" spans="1:6" ht="18" customHeight="1">
      <c r="A61" s="4" t="s">
        <v>9</v>
      </c>
      <c r="B61" s="4" t="str">
        <f>"2020020418"</f>
        <v>2020020418</v>
      </c>
      <c r="C61" s="5">
        <v>61.9</v>
      </c>
      <c r="D61" s="6">
        <v>56.5</v>
      </c>
      <c r="E61" s="7">
        <f t="shared" si="0"/>
        <v>118.4</v>
      </c>
      <c r="F61" s="8"/>
    </row>
    <row r="62" spans="1:6" ht="18" customHeight="1">
      <c r="A62" s="4" t="s">
        <v>9</v>
      </c>
      <c r="B62" s="4" t="str">
        <f>"2020030809"</f>
        <v>2020030809</v>
      </c>
      <c r="C62" s="5">
        <v>52.4</v>
      </c>
      <c r="D62" s="6">
        <v>65</v>
      </c>
      <c r="E62" s="7">
        <f t="shared" si="0"/>
        <v>117.4</v>
      </c>
      <c r="F62" s="8"/>
    </row>
    <row r="63" spans="1:6" ht="18" customHeight="1">
      <c r="A63" s="4" t="s">
        <v>9</v>
      </c>
      <c r="B63" s="4" t="str">
        <f>"2020044605"</f>
        <v>2020044605</v>
      </c>
      <c r="C63" s="5">
        <v>58.3</v>
      </c>
      <c r="D63" s="6">
        <v>58</v>
      </c>
      <c r="E63" s="7">
        <f t="shared" si="0"/>
        <v>116.3</v>
      </c>
      <c r="F63" s="8"/>
    </row>
    <row r="64" spans="1:6" ht="18" customHeight="1">
      <c r="A64" s="4" t="s">
        <v>9</v>
      </c>
      <c r="B64" s="4" t="str">
        <f>"2020010424"</f>
        <v>2020010424</v>
      </c>
      <c r="C64" s="5">
        <v>52.6</v>
      </c>
      <c r="D64" s="6">
        <v>61</v>
      </c>
      <c r="E64" s="7">
        <f t="shared" si="0"/>
        <v>113.6</v>
      </c>
      <c r="F64" s="8"/>
    </row>
    <row r="65" spans="1:6" ht="18" customHeight="1">
      <c r="A65" s="4" t="s">
        <v>9</v>
      </c>
      <c r="B65" s="4" t="str">
        <f>"2020041513"</f>
        <v>2020041513</v>
      </c>
      <c r="C65" s="5">
        <v>64.400000000000006</v>
      </c>
      <c r="D65" s="6">
        <v>44.5</v>
      </c>
      <c r="E65" s="7">
        <f t="shared" si="0"/>
        <v>108.9</v>
      </c>
      <c r="F65" s="8"/>
    </row>
    <row r="66" spans="1:6" ht="18" customHeight="1">
      <c r="A66" s="4" t="s">
        <v>9</v>
      </c>
      <c r="B66" s="4" t="str">
        <f>"2020021710"</f>
        <v>2020021710</v>
      </c>
      <c r="C66" s="5">
        <v>55.5</v>
      </c>
      <c r="D66" s="6">
        <v>49</v>
      </c>
      <c r="E66" s="7">
        <f t="shared" si="0"/>
        <v>104.5</v>
      </c>
      <c r="F66" s="8"/>
    </row>
    <row r="67" spans="1:6" ht="18" customHeight="1">
      <c r="A67" s="4" t="s">
        <v>9</v>
      </c>
      <c r="B67" s="4" t="str">
        <f>"2020011302"</f>
        <v>2020011302</v>
      </c>
      <c r="C67" s="5">
        <v>53.4</v>
      </c>
      <c r="D67" s="6">
        <v>46.5</v>
      </c>
      <c r="E67" s="7">
        <f t="shared" ref="E67:E130" si="1">SUM(C67:D67)</f>
        <v>99.9</v>
      </c>
      <c r="F67" s="8"/>
    </row>
    <row r="68" spans="1:6" ht="18" customHeight="1">
      <c r="A68" s="4" t="s">
        <v>9</v>
      </c>
      <c r="B68" s="4" t="str">
        <f>"2020033903"</f>
        <v>2020033903</v>
      </c>
      <c r="C68" s="5">
        <v>0</v>
      </c>
      <c r="D68" s="6">
        <v>58</v>
      </c>
      <c r="E68" s="7">
        <f t="shared" si="1"/>
        <v>58</v>
      </c>
      <c r="F68" s="8" t="s">
        <v>10</v>
      </c>
    </row>
    <row r="69" spans="1:6" ht="18" customHeight="1">
      <c r="A69" s="4" t="s">
        <v>9</v>
      </c>
      <c r="B69" s="4" t="str">
        <f>"2020010307"</f>
        <v>2020010307</v>
      </c>
      <c r="C69" s="5">
        <v>0</v>
      </c>
      <c r="D69" s="6">
        <v>0</v>
      </c>
      <c r="E69" s="7">
        <f t="shared" si="1"/>
        <v>0</v>
      </c>
      <c r="F69" s="9" t="s">
        <v>8</v>
      </c>
    </row>
    <row r="70" spans="1:6" ht="18" customHeight="1">
      <c r="A70" s="4" t="s">
        <v>9</v>
      </c>
      <c r="B70" s="4" t="str">
        <f>"2020010309"</f>
        <v>2020010309</v>
      </c>
      <c r="C70" s="5">
        <v>0</v>
      </c>
      <c r="D70" s="6">
        <v>0</v>
      </c>
      <c r="E70" s="7">
        <f t="shared" si="1"/>
        <v>0</v>
      </c>
      <c r="F70" s="9" t="s">
        <v>8</v>
      </c>
    </row>
    <row r="71" spans="1:6" ht="18" customHeight="1">
      <c r="A71" s="4" t="s">
        <v>9</v>
      </c>
      <c r="B71" s="4" t="str">
        <f>"2020010616"</f>
        <v>2020010616</v>
      </c>
      <c r="C71" s="5">
        <v>0</v>
      </c>
      <c r="D71" s="6">
        <v>0</v>
      </c>
      <c r="E71" s="7">
        <f t="shared" si="1"/>
        <v>0</v>
      </c>
      <c r="F71" s="9" t="s">
        <v>8</v>
      </c>
    </row>
    <row r="72" spans="1:6" ht="18" customHeight="1">
      <c r="A72" s="4" t="s">
        <v>9</v>
      </c>
      <c r="B72" s="4" t="str">
        <f>"2020011829"</f>
        <v>2020011829</v>
      </c>
      <c r="C72" s="5">
        <v>0</v>
      </c>
      <c r="D72" s="6">
        <v>0</v>
      </c>
      <c r="E72" s="7">
        <f t="shared" si="1"/>
        <v>0</v>
      </c>
      <c r="F72" s="9" t="s">
        <v>8</v>
      </c>
    </row>
    <row r="73" spans="1:6" ht="18" customHeight="1">
      <c r="A73" s="4" t="s">
        <v>9</v>
      </c>
      <c r="B73" s="4" t="str">
        <f>"2020011913"</f>
        <v>2020011913</v>
      </c>
      <c r="C73" s="5">
        <v>0</v>
      </c>
      <c r="D73" s="6">
        <v>0</v>
      </c>
      <c r="E73" s="7">
        <f t="shared" si="1"/>
        <v>0</v>
      </c>
      <c r="F73" s="9" t="s">
        <v>8</v>
      </c>
    </row>
    <row r="74" spans="1:6" ht="18" customHeight="1">
      <c r="A74" s="4" t="s">
        <v>9</v>
      </c>
      <c r="B74" s="4" t="str">
        <f>"2020012717"</f>
        <v>2020012717</v>
      </c>
      <c r="C74" s="5">
        <v>0</v>
      </c>
      <c r="D74" s="6">
        <v>0</v>
      </c>
      <c r="E74" s="7">
        <f t="shared" si="1"/>
        <v>0</v>
      </c>
      <c r="F74" s="9" t="s">
        <v>8</v>
      </c>
    </row>
    <row r="75" spans="1:6" ht="18" customHeight="1">
      <c r="A75" s="4" t="s">
        <v>9</v>
      </c>
      <c r="B75" s="4" t="str">
        <f>"2020013909"</f>
        <v>2020013909</v>
      </c>
      <c r="C75" s="5">
        <v>0</v>
      </c>
      <c r="D75" s="6">
        <v>0</v>
      </c>
      <c r="E75" s="7">
        <f t="shared" si="1"/>
        <v>0</v>
      </c>
      <c r="F75" s="9" t="s">
        <v>8</v>
      </c>
    </row>
    <row r="76" spans="1:6" ht="18" customHeight="1">
      <c r="A76" s="4" t="s">
        <v>9</v>
      </c>
      <c r="B76" s="4" t="str">
        <f>"2020014019"</f>
        <v>2020014019</v>
      </c>
      <c r="C76" s="5">
        <v>0</v>
      </c>
      <c r="D76" s="6">
        <v>0</v>
      </c>
      <c r="E76" s="7">
        <f t="shared" si="1"/>
        <v>0</v>
      </c>
      <c r="F76" s="9" t="s">
        <v>8</v>
      </c>
    </row>
    <row r="77" spans="1:6" ht="18" customHeight="1">
      <c r="A77" s="4" t="s">
        <v>9</v>
      </c>
      <c r="B77" s="4" t="str">
        <f>"2020020108"</f>
        <v>2020020108</v>
      </c>
      <c r="C77" s="5">
        <v>0</v>
      </c>
      <c r="D77" s="6">
        <v>0</v>
      </c>
      <c r="E77" s="7">
        <f t="shared" si="1"/>
        <v>0</v>
      </c>
      <c r="F77" s="8" t="s">
        <v>8</v>
      </c>
    </row>
    <row r="78" spans="1:6" ht="18" customHeight="1">
      <c r="A78" s="4" t="s">
        <v>9</v>
      </c>
      <c r="B78" s="4" t="str">
        <f>"2020020609"</f>
        <v>2020020609</v>
      </c>
      <c r="C78" s="5">
        <v>0</v>
      </c>
      <c r="D78" s="6">
        <v>0</v>
      </c>
      <c r="E78" s="7">
        <f t="shared" si="1"/>
        <v>0</v>
      </c>
      <c r="F78" s="8" t="s">
        <v>8</v>
      </c>
    </row>
    <row r="79" spans="1:6" ht="18" customHeight="1">
      <c r="A79" s="4" t="s">
        <v>9</v>
      </c>
      <c r="B79" s="4" t="str">
        <f>"2020020705"</f>
        <v>2020020705</v>
      </c>
      <c r="C79" s="5">
        <v>0</v>
      </c>
      <c r="D79" s="6">
        <v>0</v>
      </c>
      <c r="E79" s="7">
        <f t="shared" si="1"/>
        <v>0</v>
      </c>
      <c r="F79" s="8" t="s">
        <v>8</v>
      </c>
    </row>
    <row r="80" spans="1:6" ht="18" customHeight="1">
      <c r="A80" s="4" t="s">
        <v>9</v>
      </c>
      <c r="B80" s="4" t="str">
        <f>"2020022813"</f>
        <v>2020022813</v>
      </c>
      <c r="C80" s="5">
        <v>0</v>
      </c>
      <c r="D80" s="6">
        <v>0</v>
      </c>
      <c r="E80" s="7">
        <f t="shared" si="1"/>
        <v>0</v>
      </c>
      <c r="F80" s="8" t="s">
        <v>8</v>
      </c>
    </row>
    <row r="81" spans="1:6" ht="18" customHeight="1">
      <c r="A81" s="4" t="s">
        <v>9</v>
      </c>
      <c r="B81" s="4" t="str">
        <f>"2020022923"</f>
        <v>2020022923</v>
      </c>
      <c r="C81" s="5">
        <v>0</v>
      </c>
      <c r="D81" s="6">
        <v>0</v>
      </c>
      <c r="E81" s="7">
        <f t="shared" si="1"/>
        <v>0</v>
      </c>
      <c r="F81" s="8" t="s">
        <v>8</v>
      </c>
    </row>
    <row r="82" spans="1:6" ht="18" customHeight="1">
      <c r="A82" s="4" t="s">
        <v>9</v>
      </c>
      <c r="B82" s="4" t="str">
        <f>"2020023205"</f>
        <v>2020023205</v>
      </c>
      <c r="C82" s="5">
        <v>0</v>
      </c>
      <c r="D82" s="6">
        <v>0</v>
      </c>
      <c r="E82" s="7">
        <f t="shared" si="1"/>
        <v>0</v>
      </c>
      <c r="F82" s="8" t="s">
        <v>8</v>
      </c>
    </row>
    <row r="83" spans="1:6" ht="18" customHeight="1">
      <c r="A83" s="4" t="s">
        <v>9</v>
      </c>
      <c r="B83" s="4" t="str">
        <f>"2020030506"</f>
        <v>2020030506</v>
      </c>
      <c r="C83" s="5">
        <v>0</v>
      </c>
      <c r="D83" s="6">
        <v>0</v>
      </c>
      <c r="E83" s="7">
        <f t="shared" si="1"/>
        <v>0</v>
      </c>
      <c r="F83" s="8" t="s">
        <v>8</v>
      </c>
    </row>
    <row r="84" spans="1:6" ht="18" customHeight="1">
      <c r="A84" s="4" t="s">
        <v>9</v>
      </c>
      <c r="B84" s="4" t="str">
        <f>"2020031906"</f>
        <v>2020031906</v>
      </c>
      <c r="C84" s="5">
        <v>0</v>
      </c>
      <c r="D84" s="6">
        <v>0</v>
      </c>
      <c r="E84" s="7">
        <f t="shared" si="1"/>
        <v>0</v>
      </c>
      <c r="F84" s="8" t="s">
        <v>8</v>
      </c>
    </row>
    <row r="85" spans="1:6" ht="18" customHeight="1">
      <c r="A85" s="4" t="s">
        <v>9</v>
      </c>
      <c r="B85" s="4" t="str">
        <f>"2020032217"</f>
        <v>2020032217</v>
      </c>
      <c r="C85" s="5">
        <v>0</v>
      </c>
      <c r="D85" s="6">
        <v>0</v>
      </c>
      <c r="E85" s="7">
        <f t="shared" si="1"/>
        <v>0</v>
      </c>
      <c r="F85" s="8" t="s">
        <v>8</v>
      </c>
    </row>
    <row r="86" spans="1:6" ht="18" customHeight="1">
      <c r="A86" s="4" t="s">
        <v>9</v>
      </c>
      <c r="B86" s="4" t="str">
        <f>"2020032412"</f>
        <v>2020032412</v>
      </c>
      <c r="C86" s="5">
        <v>0</v>
      </c>
      <c r="D86" s="6">
        <v>0</v>
      </c>
      <c r="E86" s="7">
        <f t="shared" si="1"/>
        <v>0</v>
      </c>
      <c r="F86" s="8" t="s">
        <v>8</v>
      </c>
    </row>
    <row r="87" spans="1:6" ht="18" customHeight="1">
      <c r="A87" s="4" t="s">
        <v>9</v>
      </c>
      <c r="B87" s="4" t="str">
        <f>"2020032826"</f>
        <v>2020032826</v>
      </c>
      <c r="C87" s="5">
        <v>0</v>
      </c>
      <c r="D87" s="6">
        <v>0</v>
      </c>
      <c r="E87" s="7">
        <f t="shared" si="1"/>
        <v>0</v>
      </c>
      <c r="F87" s="8" t="s">
        <v>8</v>
      </c>
    </row>
    <row r="88" spans="1:6" ht="18" customHeight="1">
      <c r="A88" s="4" t="s">
        <v>9</v>
      </c>
      <c r="B88" s="4" t="str">
        <f>"2020033617"</f>
        <v>2020033617</v>
      </c>
      <c r="C88" s="5">
        <v>0</v>
      </c>
      <c r="D88" s="6">
        <v>0</v>
      </c>
      <c r="E88" s="7">
        <f t="shared" si="1"/>
        <v>0</v>
      </c>
      <c r="F88" s="8" t="s">
        <v>8</v>
      </c>
    </row>
    <row r="89" spans="1:6" ht="18" customHeight="1">
      <c r="A89" s="4" t="s">
        <v>9</v>
      </c>
      <c r="B89" s="4" t="str">
        <f>"2020043329"</f>
        <v>2020043329</v>
      </c>
      <c r="C89" s="5">
        <v>0</v>
      </c>
      <c r="D89" s="6">
        <v>0</v>
      </c>
      <c r="E89" s="7">
        <f t="shared" si="1"/>
        <v>0</v>
      </c>
      <c r="F89" s="8" t="s">
        <v>8</v>
      </c>
    </row>
    <row r="90" spans="1:6" ht="18" customHeight="1">
      <c r="A90" s="4" t="s">
        <v>9</v>
      </c>
      <c r="B90" s="4" t="str">
        <f>"2020043912"</f>
        <v>2020043912</v>
      </c>
      <c r="C90" s="5">
        <v>0</v>
      </c>
      <c r="D90" s="6">
        <v>0</v>
      </c>
      <c r="E90" s="7">
        <f t="shared" si="1"/>
        <v>0</v>
      </c>
      <c r="F90" s="8" t="s">
        <v>8</v>
      </c>
    </row>
    <row r="91" spans="1:6" ht="18" customHeight="1">
      <c r="A91" s="4" t="s">
        <v>11</v>
      </c>
      <c r="B91" s="4" t="str">
        <f>"2020043825"</f>
        <v>2020043825</v>
      </c>
      <c r="C91" s="5">
        <v>77.099999999999994</v>
      </c>
      <c r="D91" s="6">
        <v>89</v>
      </c>
      <c r="E91" s="7">
        <f t="shared" si="1"/>
        <v>166.1</v>
      </c>
      <c r="F91" s="8"/>
    </row>
    <row r="92" spans="1:6" ht="18" customHeight="1">
      <c r="A92" s="4" t="s">
        <v>11</v>
      </c>
      <c r="B92" s="4" t="str">
        <f>"2020013115"</f>
        <v>2020013115</v>
      </c>
      <c r="C92" s="5">
        <v>73.099999999999994</v>
      </c>
      <c r="D92" s="6">
        <v>92</v>
      </c>
      <c r="E92" s="7">
        <f t="shared" si="1"/>
        <v>165.1</v>
      </c>
      <c r="F92" s="8"/>
    </row>
    <row r="93" spans="1:6" ht="18" customHeight="1">
      <c r="A93" s="4" t="s">
        <v>11</v>
      </c>
      <c r="B93" s="4" t="str">
        <f>"2020043314"</f>
        <v>2020043314</v>
      </c>
      <c r="C93" s="5">
        <v>74.400000000000006</v>
      </c>
      <c r="D93" s="6">
        <v>87</v>
      </c>
      <c r="E93" s="7">
        <f t="shared" si="1"/>
        <v>161.4</v>
      </c>
      <c r="F93" s="8"/>
    </row>
    <row r="94" spans="1:6" ht="18" customHeight="1">
      <c r="A94" s="4" t="s">
        <v>11</v>
      </c>
      <c r="B94" s="4" t="str">
        <f>"2020013126"</f>
        <v>2020013126</v>
      </c>
      <c r="C94" s="5">
        <v>72.7</v>
      </c>
      <c r="D94" s="6">
        <v>88</v>
      </c>
      <c r="E94" s="7">
        <f t="shared" si="1"/>
        <v>160.69999999999999</v>
      </c>
      <c r="F94" s="8"/>
    </row>
    <row r="95" spans="1:6" ht="18" customHeight="1">
      <c r="A95" s="4" t="s">
        <v>11</v>
      </c>
      <c r="B95" s="4" t="str">
        <f>"2020033505"</f>
        <v>2020033505</v>
      </c>
      <c r="C95" s="5">
        <v>74.099999999999994</v>
      </c>
      <c r="D95" s="6">
        <v>84</v>
      </c>
      <c r="E95" s="7">
        <f t="shared" si="1"/>
        <v>158.1</v>
      </c>
      <c r="F95" s="8"/>
    </row>
    <row r="96" spans="1:6" ht="18" customHeight="1">
      <c r="A96" s="4" t="s">
        <v>11</v>
      </c>
      <c r="B96" s="4" t="str">
        <f>"2020047012"</f>
        <v>2020047012</v>
      </c>
      <c r="C96" s="5">
        <v>74</v>
      </c>
      <c r="D96" s="6">
        <v>84</v>
      </c>
      <c r="E96" s="7">
        <f t="shared" si="1"/>
        <v>158</v>
      </c>
      <c r="F96" s="8"/>
    </row>
    <row r="97" spans="1:6" ht="18" customHeight="1">
      <c r="A97" s="4" t="s">
        <v>11</v>
      </c>
      <c r="B97" s="4" t="str">
        <f>"2020012313"</f>
        <v>2020012313</v>
      </c>
      <c r="C97" s="5">
        <v>73</v>
      </c>
      <c r="D97" s="6">
        <v>85</v>
      </c>
      <c r="E97" s="7">
        <f t="shared" si="1"/>
        <v>158</v>
      </c>
      <c r="F97" s="8"/>
    </row>
    <row r="98" spans="1:6" ht="18" customHeight="1">
      <c r="A98" s="4" t="s">
        <v>11</v>
      </c>
      <c r="B98" s="4" t="str">
        <f>"2020011804"</f>
        <v>2020011804</v>
      </c>
      <c r="C98" s="5">
        <v>73.8</v>
      </c>
      <c r="D98" s="6">
        <v>84</v>
      </c>
      <c r="E98" s="7">
        <f t="shared" si="1"/>
        <v>157.80000000000001</v>
      </c>
      <c r="F98" s="8"/>
    </row>
    <row r="99" spans="1:6" ht="18" customHeight="1">
      <c r="A99" s="4" t="s">
        <v>11</v>
      </c>
      <c r="B99" s="4" t="str">
        <f>"2020046210"</f>
        <v>2020046210</v>
      </c>
      <c r="C99" s="5">
        <v>80.2</v>
      </c>
      <c r="D99" s="6">
        <v>77</v>
      </c>
      <c r="E99" s="7">
        <f t="shared" si="1"/>
        <v>157.19999999999999</v>
      </c>
      <c r="F99" s="8"/>
    </row>
    <row r="100" spans="1:6" ht="18" customHeight="1">
      <c r="A100" s="4" t="s">
        <v>11</v>
      </c>
      <c r="B100" s="4" t="str">
        <f>"2020023327"</f>
        <v>2020023327</v>
      </c>
      <c r="C100" s="5">
        <v>78.2</v>
      </c>
      <c r="D100" s="6">
        <v>78</v>
      </c>
      <c r="E100" s="7">
        <f t="shared" si="1"/>
        <v>156.19999999999999</v>
      </c>
      <c r="F100" s="8"/>
    </row>
    <row r="101" spans="1:6" ht="18" customHeight="1">
      <c r="A101" s="4" t="s">
        <v>11</v>
      </c>
      <c r="B101" s="4" t="str">
        <f>"2020012318"</f>
        <v>2020012318</v>
      </c>
      <c r="C101" s="5">
        <v>71.7</v>
      </c>
      <c r="D101" s="6">
        <v>84.5</v>
      </c>
      <c r="E101" s="7">
        <f t="shared" si="1"/>
        <v>156.19999999999999</v>
      </c>
      <c r="F101" s="8"/>
    </row>
    <row r="102" spans="1:6" ht="18" customHeight="1">
      <c r="A102" s="4" t="s">
        <v>11</v>
      </c>
      <c r="B102" s="4" t="str">
        <f>"2020044616"</f>
        <v>2020044616</v>
      </c>
      <c r="C102" s="5">
        <v>72.099999999999994</v>
      </c>
      <c r="D102" s="6">
        <v>83</v>
      </c>
      <c r="E102" s="7">
        <f t="shared" si="1"/>
        <v>155.1</v>
      </c>
      <c r="F102" s="8"/>
    </row>
    <row r="103" spans="1:6" ht="18" customHeight="1">
      <c r="A103" s="4" t="s">
        <v>11</v>
      </c>
      <c r="B103" s="4" t="str">
        <f>"2020046009"</f>
        <v>2020046009</v>
      </c>
      <c r="C103" s="5">
        <v>78.900000000000006</v>
      </c>
      <c r="D103" s="6">
        <v>75.5</v>
      </c>
      <c r="E103" s="7">
        <f t="shared" si="1"/>
        <v>154.4</v>
      </c>
      <c r="F103" s="8"/>
    </row>
    <row r="104" spans="1:6" ht="18" customHeight="1">
      <c r="A104" s="4" t="s">
        <v>11</v>
      </c>
      <c r="B104" s="4" t="str">
        <f>"2020023122"</f>
        <v>2020023122</v>
      </c>
      <c r="C104" s="5">
        <v>72.2</v>
      </c>
      <c r="D104" s="6">
        <v>81.5</v>
      </c>
      <c r="E104" s="7">
        <f t="shared" si="1"/>
        <v>153.69999999999999</v>
      </c>
      <c r="F104" s="8"/>
    </row>
    <row r="105" spans="1:6" ht="18" customHeight="1">
      <c r="A105" s="4" t="s">
        <v>11</v>
      </c>
      <c r="B105" s="4" t="str">
        <f>"2020024406"</f>
        <v>2020024406</v>
      </c>
      <c r="C105" s="5">
        <v>75.5</v>
      </c>
      <c r="D105" s="6">
        <v>78</v>
      </c>
      <c r="E105" s="7">
        <f t="shared" si="1"/>
        <v>153.5</v>
      </c>
      <c r="F105" s="8"/>
    </row>
    <row r="106" spans="1:6" ht="18" customHeight="1">
      <c r="A106" s="4" t="s">
        <v>11</v>
      </c>
      <c r="B106" s="4" t="str">
        <f>"2020047010"</f>
        <v>2020047010</v>
      </c>
      <c r="C106" s="5">
        <v>77.2</v>
      </c>
      <c r="D106" s="6">
        <v>76</v>
      </c>
      <c r="E106" s="7">
        <f t="shared" si="1"/>
        <v>153.19999999999999</v>
      </c>
      <c r="F106" s="8"/>
    </row>
    <row r="107" spans="1:6" ht="18" customHeight="1">
      <c r="A107" s="4" t="s">
        <v>11</v>
      </c>
      <c r="B107" s="4" t="str">
        <f>"2020012415"</f>
        <v>2020012415</v>
      </c>
      <c r="C107" s="5">
        <v>79.099999999999994</v>
      </c>
      <c r="D107" s="6">
        <v>74</v>
      </c>
      <c r="E107" s="7">
        <f t="shared" si="1"/>
        <v>153.1</v>
      </c>
      <c r="F107" s="8"/>
    </row>
    <row r="108" spans="1:6" ht="18" customHeight="1">
      <c r="A108" s="4" t="s">
        <v>11</v>
      </c>
      <c r="B108" s="4" t="str">
        <f>"2020011812"</f>
        <v>2020011812</v>
      </c>
      <c r="C108" s="5">
        <v>72.7</v>
      </c>
      <c r="D108" s="6">
        <v>80</v>
      </c>
      <c r="E108" s="7">
        <f t="shared" si="1"/>
        <v>152.69999999999999</v>
      </c>
      <c r="F108" s="8"/>
    </row>
    <row r="109" spans="1:6" ht="18" customHeight="1">
      <c r="A109" s="4" t="s">
        <v>11</v>
      </c>
      <c r="B109" s="4" t="str">
        <f>"2020041325"</f>
        <v>2020041325</v>
      </c>
      <c r="C109" s="5">
        <v>74</v>
      </c>
      <c r="D109" s="6">
        <v>78.5</v>
      </c>
      <c r="E109" s="7">
        <f t="shared" si="1"/>
        <v>152.5</v>
      </c>
      <c r="F109" s="8"/>
    </row>
    <row r="110" spans="1:6" ht="18" customHeight="1">
      <c r="A110" s="4" t="s">
        <v>11</v>
      </c>
      <c r="B110" s="4" t="str">
        <f>"2020020312"</f>
        <v>2020020312</v>
      </c>
      <c r="C110" s="5">
        <v>70.900000000000006</v>
      </c>
      <c r="D110" s="6">
        <v>81.5</v>
      </c>
      <c r="E110" s="7">
        <f t="shared" si="1"/>
        <v>152.4</v>
      </c>
      <c r="F110" s="8"/>
    </row>
    <row r="111" spans="1:6" ht="18" customHeight="1">
      <c r="A111" s="4" t="s">
        <v>11</v>
      </c>
      <c r="B111" s="4" t="str">
        <f>"2020021727"</f>
        <v>2020021727</v>
      </c>
      <c r="C111" s="5">
        <v>74.599999999999994</v>
      </c>
      <c r="D111" s="6">
        <v>77.5</v>
      </c>
      <c r="E111" s="7">
        <f t="shared" si="1"/>
        <v>152.1</v>
      </c>
      <c r="F111" s="8"/>
    </row>
    <row r="112" spans="1:6" ht="18" customHeight="1">
      <c r="A112" s="4" t="s">
        <v>11</v>
      </c>
      <c r="B112" s="4" t="str">
        <f>"2020022204"</f>
        <v>2020022204</v>
      </c>
      <c r="C112" s="5">
        <v>74</v>
      </c>
      <c r="D112" s="6">
        <v>78</v>
      </c>
      <c r="E112" s="7">
        <f t="shared" si="1"/>
        <v>152</v>
      </c>
      <c r="F112" s="8"/>
    </row>
    <row r="113" spans="1:6" ht="18" customHeight="1">
      <c r="A113" s="4" t="s">
        <v>11</v>
      </c>
      <c r="B113" s="4" t="str">
        <f>"2020045525"</f>
        <v>2020045525</v>
      </c>
      <c r="C113" s="5">
        <v>72.400000000000006</v>
      </c>
      <c r="D113" s="6">
        <v>79.5</v>
      </c>
      <c r="E113" s="7">
        <f t="shared" si="1"/>
        <v>151.9</v>
      </c>
      <c r="F113" s="8"/>
    </row>
    <row r="114" spans="1:6" ht="18" customHeight="1">
      <c r="A114" s="4" t="s">
        <v>11</v>
      </c>
      <c r="B114" s="4" t="str">
        <f>"2020020115"</f>
        <v>2020020115</v>
      </c>
      <c r="C114" s="5">
        <v>77.3</v>
      </c>
      <c r="D114" s="6">
        <v>74</v>
      </c>
      <c r="E114" s="7">
        <f t="shared" si="1"/>
        <v>151.30000000000001</v>
      </c>
      <c r="F114" s="8"/>
    </row>
    <row r="115" spans="1:6" ht="18" customHeight="1">
      <c r="A115" s="4" t="s">
        <v>11</v>
      </c>
      <c r="B115" s="4" t="str">
        <f>"2020021114"</f>
        <v>2020021114</v>
      </c>
      <c r="C115" s="5">
        <v>75.599999999999994</v>
      </c>
      <c r="D115" s="6">
        <v>75</v>
      </c>
      <c r="E115" s="7">
        <f t="shared" si="1"/>
        <v>150.6</v>
      </c>
      <c r="F115" s="8"/>
    </row>
    <row r="116" spans="1:6" ht="18" customHeight="1">
      <c r="A116" s="4" t="s">
        <v>11</v>
      </c>
      <c r="B116" s="4" t="str">
        <f>"2020041317"</f>
        <v>2020041317</v>
      </c>
      <c r="C116" s="5">
        <v>79.2</v>
      </c>
      <c r="D116" s="6">
        <v>71</v>
      </c>
      <c r="E116" s="7">
        <f t="shared" si="1"/>
        <v>150.19999999999999</v>
      </c>
      <c r="F116" s="8"/>
    </row>
    <row r="117" spans="1:6" ht="18" customHeight="1">
      <c r="A117" s="4" t="s">
        <v>11</v>
      </c>
      <c r="B117" s="4" t="str">
        <f>"2020033923"</f>
        <v>2020033923</v>
      </c>
      <c r="C117" s="5">
        <v>73.2</v>
      </c>
      <c r="D117" s="6">
        <v>77</v>
      </c>
      <c r="E117" s="7">
        <f t="shared" si="1"/>
        <v>150.19999999999999</v>
      </c>
      <c r="F117" s="8"/>
    </row>
    <row r="118" spans="1:6" ht="18" customHeight="1">
      <c r="A118" s="4" t="s">
        <v>11</v>
      </c>
      <c r="B118" s="4" t="str">
        <f>"2020023822"</f>
        <v>2020023822</v>
      </c>
      <c r="C118" s="5">
        <v>67.7</v>
      </c>
      <c r="D118" s="6">
        <v>82.5</v>
      </c>
      <c r="E118" s="7">
        <f t="shared" si="1"/>
        <v>150.19999999999999</v>
      </c>
      <c r="F118" s="8"/>
    </row>
    <row r="119" spans="1:6" ht="18" customHeight="1">
      <c r="A119" s="4" t="s">
        <v>11</v>
      </c>
      <c r="B119" s="4" t="str">
        <f>"2020023505"</f>
        <v>2020023505</v>
      </c>
      <c r="C119" s="5">
        <v>74.099999999999994</v>
      </c>
      <c r="D119" s="6">
        <v>76</v>
      </c>
      <c r="E119" s="7">
        <f t="shared" si="1"/>
        <v>150.1</v>
      </c>
      <c r="F119" s="8"/>
    </row>
    <row r="120" spans="1:6" ht="18" customHeight="1">
      <c r="A120" s="4" t="s">
        <v>11</v>
      </c>
      <c r="B120" s="4" t="str">
        <f>"2020033019"</f>
        <v>2020033019</v>
      </c>
      <c r="C120" s="5">
        <v>70.5</v>
      </c>
      <c r="D120" s="6">
        <v>79</v>
      </c>
      <c r="E120" s="7">
        <f t="shared" si="1"/>
        <v>149.5</v>
      </c>
      <c r="F120" s="8"/>
    </row>
    <row r="121" spans="1:6" ht="18" customHeight="1">
      <c r="A121" s="4" t="s">
        <v>11</v>
      </c>
      <c r="B121" s="4" t="str">
        <f>"2020046907"</f>
        <v>2020046907</v>
      </c>
      <c r="C121" s="5">
        <v>68.5</v>
      </c>
      <c r="D121" s="6">
        <v>81</v>
      </c>
      <c r="E121" s="7">
        <f t="shared" si="1"/>
        <v>149.5</v>
      </c>
      <c r="F121" s="8"/>
    </row>
    <row r="122" spans="1:6" ht="18" customHeight="1">
      <c r="A122" s="4" t="s">
        <v>11</v>
      </c>
      <c r="B122" s="4" t="str">
        <f>"2020032022"</f>
        <v>2020032022</v>
      </c>
      <c r="C122" s="5">
        <v>70</v>
      </c>
      <c r="D122" s="6">
        <v>78.5</v>
      </c>
      <c r="E122" s="7">
        <f t="shared" si="1"/>
        <v>148.5</v>
      </c>
      <c r="F122" s="8"/>
    </row>
    <row r="123" spans="1:6" ht="18" customHeight="1">
      <c r="A123" s="4" t="s">
        <v>11</v>
      </c>
      <c r="B123" s="4" t="str">
        <f>"2020012305"</f>
        <v>2020012305</v>
      </c>
      <c r="C123" s="5">
        <v>67.8</v>
      </c>
      <c r="D123" s="6">
        <v>80.5</v>
      </c>
      <c r="E123" s="7">
        <f t="shared" si="1"/>
        <v>148.30000000000001</v>
      </c>
      <c r="F123" s="8"/>
    </row>
    <row r="124" spans="1:6" ht="18" customHeight="1">
      <c r="A124" s="4" t="s">
        <v>11</v>
      </c>
      <c r="B124" s="4" t="str">
        <f>"2020020219"</f>
        <v>2020020219</v>
      </c>
      <c r="C124" s="5">
        <v>72.5</v>
      </c>
      <c r="D124" s="6">
        <v>75</v>
      </c>
      <c r="E124" s="7">
        <f t="shared" si="1"/>
        <v>147.5</v>
      </c>
      <c r="F124" s="8"/>
    </row>
    <row r="125" spans="1:6" ht="18" customHeight="1">
      <c r="A125" s="4" t="s">
        <v>11</v>
      </c>
      <c r="B125" s="4" t="str">
        <f>"2020042030"</f>
        <v>2020042030</v>
      </c>
      <c r="C125" s="5">
        <v>72</v>
      </c>
      <c r="D125" s="6">
        <v>75.5</v>
      </c>
      <c r="E125" s="7">
        <f t="shared" si="1"/>
        <v>147.5</v>
      </c>
      <c r="F125" s="8"/>
    </row>
    <row r="126" spans="1:6" ht="18" customHeight="1">
      <c r="A126" s="4" t="s">
        <v>11</v>
      </c>
      <c r="B126" s="4" t="str">
        <f>"2020011826"</f>
        <v>2020011826</v>
      </c>
      <c r="C126" s="5">
        <v>73.5</v>
      </c>
      <c r="D126" s="6">
        <v>73.5</v>
      </c>
      <c r="E126" s="7">
        <f t="shared" si="1"/>
        <v>147</v>
      </c>
      <c r="F126" s="8"/>
    </row>
    <row r="127" spans="1:6" ht="18" customHeight="1">
      <c r="A127" s="4" t="s">
        <v>11</v>
      </c>
      <c r="B127" s="4" t="str">
        <f>"2020023509"</f>
        <v>2020023509</v>
      </c>
      <c r="C127" s="5">
        <v>73.5</v>
      </c>
      <c r="D127" s="6">
        <v>73.5</v>
      </c>
      <c r="E127" s="7">
        <f t="shared" si="1"/>
        <v>147</v>
      </c>
      <c r="F127" s="8"/>
    </row>
    <row r="128" spans="1:6" ht="18" customHeight="1">
      <c r="A128" s="4" t="s">
        <v>11</v>
      </c>
      <c r="B128" s="4" t="str">
        <f>"2020020223"</f>
        <v>2020020223</v>
      </c>
      <c r="C128" s="5">
        <v>65.900000000000006</v>
      </c>
      <c r="D128" s="6">
        <v>81</v>
      </c>
      <c r="E128" s="7">
        <f t="shared" si="1"/>
        <v>146.9</v>
      </c>
      <c r="F128" s="8"/>
    </row>
    <row r="129" spans="1:6" ht="18" customHeight="1">
      <c r="A129" s="4" t="s">
        <v>11</v>
      </c>
      <c r="B129" s="4" t="str">
        <f>"2020030806"</f>
        <v>2020030806</v>
      </c>
      <c r="C129" s="5">
        <v>71.2</v>
      </c>
      <c r="D129" s="6">
        <v>75.5</v>
      </c>
      <c r="E129" s="7">
        <f t="shared" si="1"/>
        <v>146.69999999999999</v>
      </c>
      <c r="F129" s="8"/>
    </row>
    <row r="130" spans="1:6" ht="18" customHeight="1">
      <c r="A130" s="4" t="s">
        <v>11</v>
      </c>
      <c r="B130" s="4" t="str">
        <f>"2020046603"</f>
        <v>2020046603</v>
      </c>
      <c r="C130" s="5">
        <v>69.7</v>
      </c>
      <c r="D130" s="6">
        <v>77</v>
      </c>
      <c r="E130" s="7">
        <f t="shared" si="1"/>
        <v>146.69999999999999</v>
      </c>
      <c r="F130" s="8"/>
    </row>
    <row r="131" spans="1:6" ht="18" customHeight="1">
      <c r="A131" s="4" t="s">
        <v>11</v>
      </c>
      <c r="B131" s="4" t="str">
        <f>"2020030421"</f>
        <v>2020030421</v>
      </c>
      <c r="C131" s="5">
        <v>74</v>
      </c>
      <c r="D131" s="6">
        <v>72.5</v>
      </c>
      <c r="E131" s="7">
        <f t="shared" ref="E131:E194" si="2">SUM(C131:D131)</f>
        <v>146.5</v>
      </c>
      <c r="F131" s="8"/>
    </row>
    <row r="132" spans="1:6" ht="18" customHeight="1">
      <c r="A132" s="4" t="s">
        <v>11</v>
      </c>
      <c r="B132" s="4" t="str">
        <f>"2020042428"</f>
        <v>2020042428</v>
      </c>
      <c r="C132" s="5">
        <v>65.5</v>
      </c>
      <c r="D132" s="6">
        <v>81</v>
      </c>
      <c r="E132" s="7">
        <f t="shared" si="2"/>
        <v>146.5</v>
      </c>
      <c r="F132" s="8"/>
    </row>
    <row r="133" spans="1:6" ht="18" customHeight="1">
      <c r="A133" s="4" t="s">
        <v>11</v>
      </c>
      <c r="B133" s="4" t="str">
        <f>"2020045322"</f>
        <v>2020045322</v>
      </c>
      <c r="C133" s="5">
        <v>69.7</v>
      </c>
      <c r="D133" s="6">
        <v>76.5</v>
      </c>
      <c r="E133" s="7">
        <f t="shared" si="2"/>
        <v>146.19999999999999</v>
      </c>
      <c r="F133" s="8"/>
    </row>
    <row r="134" spans="1:6" ht="18" customHeight="1">
      <c r="A134" s="4" t="s">
        <v>11</v>
      </c>
      <c r="B134" s="4" t="str">
        <f>"2020033418"</f>
        <v>2020033418</v>
      </c>
      <c r="C134" s="5">
        <v>70.599999999999994</v>
      </c>
      <c r="D134" s="6">
        <v>75.5</v>
      </c>
      <c r="E134" s="7">
        <f t="shared" si="2"/>
        <v>146.1</v>
      </c>
      <c r="F134" s="8"/>
    </row>
    <row r="135" spans="1:6" ht="18" customHeight="1">
      <c r="A135" s="4" t="s">
        <v>11</v>
      </c>
      <c r="B135" s="4" t="str">
        <f>"2020033119"</f>
        <v>2020033119</v>
      </c>
      <c r="C135" s="5">
        <v>72.5</v>
      </c>
      <c r="D135" s="6">
        <v>73.5</v>
      </c>
      <c r="E135" s="7">
        <f t="shared" si="2"/>
        <v>146</v>
      </c>
      <c r="F135" s="8"/>
    </row>
    <row r="136" spans="1:6" ht="18" customHeight="1">
      <c r="A136" s="4" t="s">
        <v>11</v>
      </c>
      <c r="B136" s="4" t="str">
        <f>"2020046705"</f>
        <v>2020046705</v>
      </c>
      <c r="C136" s="5">
        <v>72</v>
      </c>
      <c r="D136" s="6">
        <v>74</v>
      </c>
      <c r="E136" s="7">
        <f t="shared" si="2"/>
        <v>146</v>
      </c>
      <c r="F136" s="8"/>
    </row>
    <row r="137" spans="1:6" ht="18" customHeight="1">
      <c r="A137" s="4" t="s">
        <v>11</v>
      </c>
      <c r="B137" s="4" t="str">
        <f>"2020031218"</f>
        <v>2020031218</v>
      </c>
      <c r="C137" s="5">
        <v>71.2</v>
      </c>
      <c r="D137" s="6">
        <v>74.5</v>
      </c>
      <c r="E137" s="7">
        <f t="shared" si="2"/>
        <v>145.69999999999999</v>
      </c>
      <c r="F137" s="8"/>
    </row>
    <row r="138" spans="1:6" ht="18" customHeight="1">
      <c r="A138" s="4" t="s">
        <v>11</v>
      </c>
      <c r="B138" s="4" t="str">
        <f>"2020030130"</f>
        <v>2020030130</v>
      </c>
      <c r="C138" s="5">
        <v>64.5</v>
      </c>
      <c r="D138" s="6">
        <v>81</v>
      </c>
      <c r="E138" s="7">
        <f t="shared" si="2"/>
        <v>145.5</v>
      </c>
      <c r="F138" s="8"/>
    </row>
    <row r="139" spans="1:6" ht="18" customHeight="1">
      <c r="A139" s="4" t="s">
        <v>11</v>
      </c>
      <c r="B139" s="4" t="str">
        <f>"2020030318"</f>
        <v>2020030318</v>
      </c>
      <c r="C139" s="5">
        <v>74.599999999999994</v>
      </c>
      <c r="D139" s="6">
        <v>70.5</v>
      </c>
      <c r="E139" s="7">
        <f t="shared" si="2"/>
        <v>145.1</v>
      </c>
      <c r="F139" s="8"/>
    </row>
    <row r="140" spans="1:6" ht="18" customHeight="1">
      <c r="A140" s="4" t="s">
        <v>11</v>
      </c>
      <c r="B140" s="4" t="str">
        <f>"2020045425"</f>
        <v>2020045425</v>
      </c>
      <c r="C140" s="5">
        <v>73</v>
      </c>
      <c r="D140" s="6">
        <v>72</v>
      </c>
      <c r="E140" s="7">
        <f t="shared" si="2"/>
        <v>145</v>
      </c>
      <c r="F140" s="8"/>
    </row>
    <row r="141" spans="1:6" ht="18" customHeight="1">
      <c r="A141" s="4" t="s">
        <v>11</v>
      </c>
      <c r="B141" s="4" t="str">
        <f>"2020044728"</f>
        <v>2020044728</v>
      </c>
      <c r="C141" s="5">
        <v>75.099999999999994</v>
      </c>
      <c r="D141" s="6">
        <v>69.5</v>
      </c>
      <c r="E141" s="7">
        <f t="shared" si="2"/>
        <v>144.6</v>
      </c>
      <c r="F141" s="8"/>
    </row>
    <row r="142" spans="1:6" ht="18" customHeight="1">
      <c r="A142" s="4" t="s">
        <v>11</v>
      </c>
      <c r="B142" s="4" t="str">
        <f>"2020022720"</f>
        <v>2020022720</v>
      </c>
      <c r="C142" s="5">
        <v>64.400000000000006</v>
      </c>
      <c r="D142" s="6">
        <v>80</v>
      </c>
      <c r="E142" s="7">
        <f t="shared" si="2"/>
        <v>144.4</v>
      </c>
      <c r="F142" s="8"/>
    </row>
    <row r="143" spans="1:6" ht="18" customHeight="1">
      <c r="A143" s="4" t="s">
        <v>11</v>
      </c>
      <c r="B143" s="4" t="str">
        <f>"2020042604"</f>
        <v>2020042604</v>
      </c>
      <c r="C143" s="5">
        <v>71</v>
      </c>
      <c r="D143" s="6">
        <v>72.5</v>
      </c>
      <c r="E143" s="7">
        <f t="shared" si="2"/>
        <v>143.5</v>
      </c>
      <c r="F143" s="8"/>
    </row>
    <row r="144" spans="1:6" ht="18" customHeight="1">
      <c r="A144" s="4" t="s">
        <v>11</v>
      </c>
      <c r="B144" s="4" t="str">
        <f>"2020031204"</f>
        <v>2020031204</v>
      </c>
      <c r="C144" s="5">
        <v>72.8</v>
      </c>
      <c r="D144" s="6">
        <v>70.5</v>
      </c>
      <c r="E144" s="7">
        <f t="shared" si="2"/>
        <v>143.30000000000001</v>
      </c>
      <c r="F144" s="8"/>
    </row>
    <row r="145" spans="1:6" ht="18" customHeight="1">
      <c r="A145" s="4" t="s">
        <v>11</v>
      </c>
      <c r="B145" s="4" t="str">
        <f>"2020022301"</f>
        <v>2020022301</v>
      </c>
      <c r="C145" s="5">
        <v>78.900000000000006</v>
      </c>
      <c r="D145" s="6">
        <v>64</v>
      </c>
      <c r="E145" s="7">
        <f t="shared" si="2"/>
        <v>142.9</v>
      </c>
      <c r="F145" s="8"/>
    </row>
    <row r="146" spans="1:6" ht="18" customHeight="1">
      <c r="A146" s="4" t="s">
        <v>11</v>
      </c>
      <c r="B146" s="4" t="str">
        <f>"2020042028"</f>
        <v>2020042028</v>
      </c>
      <c r="C146" s="5">
        <v>77.400000000000006</v>
      </c>
      <c r="D146" s="6">
        <v>65.5</v>
      </c>
      <c r="E146" s="7">
        <f t="shared" si="2"/>
        <v>142.9</v>
      </c>
      <c r="F146" s="8"/>
    </row>
    <row r="147" spans="1:6" ht="18" customHeight="1">
      <c r="A147" s="4" t="s">
        <v>11</v>
      </c>
      <c r="B147" s="4" t="str">
        <f>"2020046020"</f>
        <v>2020046020</v>
      </c>
      <c r="C147" s="5">
        <v>61.5</v>
      </c>
      <c r="D147" s="6">
        <v>81</v>
      </c>
      <c r="E147" s="7">
        <f t="shared" si="2"/>
        <v>142.5</v>
      </c>
      <c r="F147" s="8"/>
    </row>
    <row r="148" spans="1:6" ht="18" customHeight="1">
      <c r="A148" s="4" t="s">
        <v>11</v>
      </c>
      <c r="B148" s="4" t="str">
        <f>"2020013803"</f>
        <v>2020013803</v>
      </c>
      <c r="C148" s="5">
        <v>69.900000000000006</v>
      </c>
      <c r="D148" s="6">
        <v>72.5</v>
      </c>
      <c r="E148" s="7">
        <f t="shared" si="2"/>
        <v>142.4</v>
      </c>
      <c r="F148" s="8"/>
    </row>
    <row r="149" spans="1:6" ht="18" customHeight="1">
      <c r="A149" s="4" t="s">
        <v>11</v>
      </c>
      <c r="B149" s="4" t="str">
        <f>"2020040914"</f>
        <v>2020040914</v>
      </c>
      <c r="C149" s="5">
        <v>74.8</v>
      </c>
      <c r="D149" s="6">
        <v>67.5</v>
      </c>
      <c r="E149" s="7">
        <f t="shared" si="2"/>
        <v>142.30000000000001</v>
      </c>
      <c r="F149" s="8"/>
    </row>
    <row r="150" spans="1:6" ht="18" customHeight="1">
      <c r="A150" s="4" t="s">
        <v>11</v>
      </c>
      <c r="B150" s="4" t="str">
        <f>"2020044030"</f>
        <v>2020044030</v>
      </c>
      <c r="C150" s="5">
        <v>70.7</v>
      </c>
      <c r="D150" s="6">
        <v>71.5</v>
      </c>
      <c r="E150" s="7">
        <f t="shared" si="2"/>
        <v>142.19999999999999</v>
      </c>
      <c r="F150" s="8"/>
    </row>
    <row r="151" spans="1:6" ht="18" customHeight="1">
      <c r="A151" s="4" t="s">
        <v>11</v>
      </c>
      <c r="B151" s="4" t="str">
        <f>"2020021730"</f>
        <v>2020021730</v>
      </c>
      <c r="C151" s="5">
        <v>69.2</v>
      </c>
      <c r="D151" s="6">
        <v>72.5</v>
      </c>
      <c r="E151" s="7">
        <f t="shared" si="2"/>
        <v>141.69999999999999</v>
      </c>
      <c r="F151" s="8"/>
    </row>
    <row r="152" spans="1:6" ht="18" customHeight="1">
      <c r="A152" s="4" t="s">
        <v>11</v>
      </c>
      <c r="B152" s="4" t="str">
        <f>"2020032710"</f>
        <v>2020032710</v>
      </c>
      <c r="C152" s="5">
        <v>69.2</v>
      </c>
      <c r="D152" s="6">
        <v>72.5</v>
      </c>
      <c r="E152" s="7">
        <f t="shared" si="2"/>
        <v>141.69999999999999</v>
      </c>
      <c r="F152" s="8"/>
    </row>
    <row r="153" spans="1:6" ht="18" customHeight="1">
      <c r="A153" s="4" t="s">
        <v>11</v>
      </c>
      <c r="B153" s="4" t="str">
        <f>"2020012105"</f>
        <v>2020012105</v>
      </c>
      <c r="C153" s="5">
        <v>67.2</v>
      </c>
      <c r="D153" s="6">
        <v>74.5</v>
      </c>
      <c r="E153" s="7">
        <f t="shared" si="2"/>
        <v>141.69999999999999</v>
      </c>
      <c r="F153" s="8"/>
    </row>
    <row r="154" spans="1:6" ht="18" customHeight="1">
      <c r="A154" s="4" t="s">
        <v>11</v>
      </c>
      <c r="B154" s="4" t="str">
        <f>"2020046511"</f>
        <v>2020046511</v>
      </c>
      <c r="C154" s="5">
        <v>70</v>
      </c>
      <c r="D154" s="6">
        <v>71.5</v>
      </c>
      <c r="E154" s="7">
        <f t="shared" si="2"/>
        <v>141.5</v>
      </c>
      <c r="F154" s="8"/>
    </row>
    <row r="155" spans="1:6" ht="18" customHeight="1">
      <c r="A155" s="4" t="s">
        <v>11</v>
      </c>
      <c r="B155" s="4" t="str">
        <f>"2020045910"</f>
        <v>2020045910</v>
      </c>
      <c r="C155" s="5">
        <v>73.7</v>
      </c>
      <c r="D155" s="6">
        <v>67.5</v>
      </c>
      <c r="E155" s="7">
        <f t="shared" si="2"/>
        <v>141.19999999999999</v>
      </c>
      <c r="F155" s="8"/>
    </row>
    <row r="156" spans="1:6" ht="18" customHeight="1">
      <c r="A156" s="4" t="s">
        <v>11</v>
      </c>
      <c r="B156" s="4" t="str">
        <f>"2020044305"</f>
        <v>2020044305</v>
      </c>
      <c r="C156" s="5">
        <v>71.599999999999994</v>
      </c>
      <c r="D156" s="6">
        <v>69.5</v>
      </c>
      <c r="E156" s="7">
        <f t="shared" si="2"/>
        <v>141.1</v>
      </c>
      <c r="F156" s="8"/>
    </row>
    <row r="157" spans="1:6" ht="18" customHeight="1">
      <c r="A157" s="4" t="s">
        <v>11</v>
      </c>
      <c r="B157" s="4" t="str">
        <f>"2020031201"</f>
        <v>2020031201</v>
      </c>
      <c r="C157" s="5">
        <v>66.5</v>
      </c>
      <c r="D157" s="6">
        <v>74.5</v>
      </c>
      <c r="E157" s="7">
        <f t="shared" si="2"/>
        <v>141</v>
      </c>
      <c r="F157" s="8"/>
    </row>
    <row r="158" spans="1:6" ht="18" customHeight="1">
      <c r="A158" s="4" t="s">
        <v>11</v>
      </c>
      <c r="B158" s="4" t="str">
        <f>"2020046420"</f>
        <v>2020046420</v>
      </c>
      <c r="C158" s="5">
        <v>69.3</v>
      </c>
      <c r="D158" s="6">
        <v>71.5</v>
      </c>
      <c r="E158" s="7">
        <f t="shared" si="2"/>
        <v>140.80000000000001</v>
      </c>
      <c r="F158" s="8"/>
    </row>
    <row r="159" spans="1:6" ht="18" customHeight="1">
      <c r="A159" s="4" t="s">
        <v>11</v>
      </c>
      <c r="B159" s="4" t="str">
        <f>"2020010625"</f>
        <v>2020010625</v>
      </c>
      <c r="C159" s="5">
        <v>69.7</v>
      </c>
      <c r="D159" s="6">
        <v>71</v>
      </c>
      <c r="E159" s="7">
        <f t="shared" si="2"/>
        <v>140.69999999999999</v>
      </c>
      <c r="F159" s="8"/>
    </row>
    <row r="160" spans="1:6" ht="18" customHeight="1">
      <c r="A160" s="4" t="s">
        <v>11</v>
      </c>
      <c r="B160" s="4" t="str">
        <f>"2020046026"</f>
        <v>2020046026</v>
      </c>
      <c r="C160" s="5">
        <v>72.599999999999994</v>
      </c>
      <c r="D160" s="6">
        <v>68</v>
      </c>
      <c r="E160" s="7">
        <f t="shared" si="2"/>
        <v>140.6</v>
      </c>
      <c r="F160" s="8"/>
    </row>
    <row r="161" spans="1:6" ht="18" customHeight="1">
      <c r="A161" s="4" t="s">
        <v>11</v>
      </c>
      <c r="B161" s="4" t="str">
        <f>"2020022118"</f>
        <v>2020022118</v>
      </c>
      <c r="C161" s="5">
        <v>73.5</v>
      </c>
      <c r="D161" s="6">
        <v>67</v>
      </c>
      <c r="E161" s="7">
        <f t="shared" si="2"/>
        <v>140.5</v>
      </c>
      <c r="F161" s="8"/>
    </row>
    <row r="162" spans="1:6" ht="18" customHeight="1">
      <c r="A162" s="4" t="s">
        <v>11</v>
      </c>
      <c r="B162" s="4" t="str">
        <f>"2020032316"</f>
        <v>2020032316</v>
      </c>
      <c r="C162" s="5">
        <v>69.599999999999994</v>
      </c>
      <c r="D162" s="6">
        <v>70.5</v>
      </c>
      <c r="E162" s="7">
        <f t="shared" si="2"/>
        <v>140.1</v>
      </c>
      <c r="F162" s="8"/>
    </row>
    <row r="163" spans="1:6" ht="18" customHeight="1">
      <c r="A163" s="4" t="s">
        <v>11</v>
      </c>
      <c r="B163" s="4" t="str">
        <f>"2020040316"</f>
        <v>2020040316</v>
      </c>
      <c r="C163" s="5">
        <v>67.5</v>
      </c>
      <c r="D163" s="6">
        <v>72.5</v>
      </c>
      <c r="E163" s="7">
        <f t="shared" si="2"/>
        <v>140</v>
      </c>
      <c r="F163" s="8"/>
    </row>
    <row r="164" spans="1:6" ht="18" customHeight="1">
      <c r="A164" s="4" t="s">
        <v>11</v>
      </c>
      <c r="B164" s="4" t="str">
        <f>"2020046809"</f>
        <v>2020046809</v>
      </c>
      <c r="C164" s="5">
        <v>67</v>
      </c>
      <c r="D164" s="6">
        <v>72.5</v>
      </c>
      <c r="E164" s="7">
        <f t="shared" si="2"/>
        <v>139.5</v>
      </c>
      <c r="F164" s="8"/>
    </row>
    <row r="165" spans="1:6" ht="18" customHeight="1">
      <c r="A165" s="4" t="s">
        <v>11</v>
      </c>
      <c r="B165" s="4" t="str">
        <f>"2020022917"</f>
        <v>2020022917</v>
      </c>
      <c r="C165" s="5">
        <v>67.400000000000006</v>
      </c>
      <c r="D165" s="6">
        <v>72</v>
      </c>
      <c r="E165" s="7">
        <f t="shared" si="2"/>
        <v>139.4</v>
      </c>
      <c r="F165" s="8"/>
    </row>
    <row r="166" spans="1:6" ht="18" customHeight="1">
      <c r="A166" s="4" t="s">
        <v>11</v>
      </c>
      <c r="B166" s="4" t="str">
        <f>"2020043904"</f>
        <v>2020043904</v>
      </c>
      <c r="C166" s="5">
        <v>68.8</v>
      </c>
      <c r="D166" s="6">
        <v>69.5</v>
      </c>
      <c r="E166" s="7">
        <f t="shared" si="2"/>
        <v>138.30000000000001</v>
      </c>
      <c r="F166" s="8"/>
    </row>
    <row r="167" spans="1:6" ht="18" customHeight="1">
      <c r="A167" s="4" t="s">
        <v>11</v>
      </c>
      <c r="B167" s="4" t="str">
        <f>"2020045316"</f>
        <v>2020045316</v>
      </c>
      <c r="C167" s="5">
        <v>70.099999999999994</v>
      </c>
      <c r="D167" s="6">
        <v>68</v>
      </c>
      <c r="E167" s="7">
        <f t="shared" si="2"/>
        <v>138.1</v>
      </c>
      <c r="F167" s="8"/>
    </row>
    <row r="168" spans="1:6" ht="18" customHeight="1">
      <c r="A168" s="4" t="s">
        <v>11</v>
      </c>
      <c r="B168" s="4" t="str">
        <f>"2020012827"</f>
        <v>2020012827</v>
      </c>
      <c r="C168" s="5">
        <v>60</v>
      </c>
      <c r="D168" s="6">
        <v>78</v>
      </c>
      <c r="E168" s="7">
        <f t="shared" si="2"/>
        <v>138</v>
      </c>
      <c r="F168" s="8"/>
    </row>
    <row r="169" spans="1:6" ht="18" customHeight="1">
      <c r="A169" s="4" t="s">
        <v>11</v>
      </c>
      <c r="B169" s="4" t="str">
        <f>"2020040409"</f>
        <v>2020040409</v>
      </c>
      <c r="C169" s="5">
        <v>62.9</v>
      </c>
      <c r="D169" s="6">
        <v>75</v>
      </c>
      <c r="E169" s="7">
        <f t="shared" si="2"/>
        <v>137.9</v>
      </c>
      <c r="F169" s="8"/>
    </row>
    <row r="170" spans="1:6" ht="18" customHeight="1">
      <c r="A170" s="4" t="s">
        <v>11</v>
      </c>
      <c r="B170" s="4" t="str">
        <f>"2020021129"</f>
        <v>2020021129</v>
      </c>
      <c r="C170" s="5">
        <v>66.7</v>
      </c>
      <c r="D170" s="6">
        <v>71</v>
      </c>
      <c r="E170" s="7">
        <f t="shared" si="2"/>
        <v>137.69999999999999</v>
      </c>
      <c r="F170" s="8"/>
    </row>
    <row r="171" spans="1:6" ht="18" customHeight="1">
      <c r="A171" s="4" t="s">
        <v>11</v>
      </c>
      <c r="B171" s="4" t="str">
        <f>"2020043917"</f>
        <v>2020043917</v>
      </c>
      <c r="C171" s="5">
        <v>72.099999999999994</v>
      </c>
      <c r="D171" s="6">
        <v>65</v>
      </c>
      <c r="E171" s="7">
        <f t="shared" si="2"/>
        <v>137.1</v>
      </c>
      <c r="F171" s="8"/>
    </row>
    <row r="172" spans="1:6" ht="18" customHeight="1">
      <c r="A172" s="4" t="s">
        <v>11</v>
      </c>
      <c r="B172" s="4" t="str">
        <f>"2020020424"</f>
        <v>2020020424</v>
      </c>
      <c r="C172" s="5">
        <v>69.5</v>
      </c>
      <c r="D172" s="6">
        <v>67.5</v>
      </c>
      <c r="E172" s="7">
        <f t="shared" si="2"/>
        <v>137</v>
      </c>
      <c r="F172" s="8"/>
    </row>
    <row r="173" spans="1:6" ht="18" customHeight="1">
      <c r="A173" s="4" t="s">
        <v>11</v>
      </c>
      <c r="B173" s="4" t="str">
        <f>"2020031227"</f>
        <v>2020031227</v>
      </c>
      <c r="C173" s="5">
        <v>70.8</v>
      </c>
      <c r="D173" s="6">
        <v>66</v>
      </c>
      <c r="E173" s="7">
        <f t="shared" si="2"/>
        <v>136.80000000000001</v>
      </c>
      <c r="F173" s="8"/>
    </row>
    <row r="174" spans="1:6" ht="18" customHeight="1">
      <c r="A174" s="4" t="s">
        <v>11</v>
      </c>
      <c r="B174" s="4" t="str">
        <f>"2020044802"</f>
        <v>2020044802</v>
      </c>
      <c r="C174" s="5">
        <v>73</v>
      </c>
      <c r="D174" s="6">
        <v>63.5</v>
      </c>
      <c r="E174" s="7">
        <f t="shared" si="2"/>
        <v>136.5</v>
      </c>
      <c r="F174" s="8"/>
    </row>
    <row r="175" spans="1:6" ht="18" customHeight="1">
      <c r="A175" s="4" t="s">
        <v>11</v>
      </c>
      <c r="B175" s="4" t="str">
        <f>"2020045330"</f>
        <v>2020045330</v>
      </c>
      <c r="C175" s="5">
        <v>64.5</v>
      </c>
      <c r="D175" s="6">
        <v>72</v>
      </c>
      <c r="E175" s="7">
        <f t="shared" si="2"/>
        <v>136.5</v>
      </c>
      <c r="F175" s="8"/>
    </row>
    <row r="176" spans="1:6" ht="18" customHeight="1">
      <c r="A176" s="4" t="s">
        <v>11</v>
      </c>
      <c r="B176" s="4" t="str">
        <f>"2020013220"</f>
        <v>2020013220</v>
      </c>
      <c r="C176" s="5">
        <v>63.5</v>
      </c>
      <c r="D176" s="6">
        <v>73</v>
      </c>
      <c r="E176" s="7">
        <f t="shared" si="2"/>
        <v>136.5</v>
      </c>
      <c r="F176" s="8"/>
    </row>
    <row r="177" spans="1:6" ht="18" customHeight="1">
      <c r="A177" s="4" t="s">
        <v>11</v>
      </c>
      <c r="B177" s="4" t="str">
        <f>"2020040924"</f>
        <v>2020040924</v>
      </c>
      <c r="C177" s="5">
        <v>72.400000000000006</v>
      </c>
      <c r="D177" s="6">
        <v>64</v>
      </c>
      <c r="E177" s="7">
        <f t="shared" si="2"/>
        <v>136.4</v>
      </c>
      <c r="F177" s="8"/>
    </row>
    <row r="178" spans="1:6" ht="18" customHeight="1">
      <c r="A178" s="4" t="s">
        <v>11</v>
      </c>
      <c r="B178" s="4" t="str">
        <f>"2020046515"</f>
        <v>2020046515</v>
      </c>
      <c r="C178" s="5">
        <v>71.3</v>
      </c>
      <c r="D178" s="6">
        <v>65</v>
      </c>
      <c r="E178" s="7">
        <f t="shared" si="2"/>
        <v>136.30000000000001</v>
      </c>
      <c r="F178" s="8"/>
    </row>
    <row r="179" spans="1:6" ht="18" customHeight="1">
      <c r="A179" s="4" t="s">
        <v>11</v>
      </c>
      <c r="B179" s="4" t="str">
        <f>"2020031108"</f>
        <v>2020031108</v>
      </c>
      <c r="C179" s="5">
        <v>63.3</v>
      </c>
      <c r="D179" s="6">
        <v>73</v>
      </c>
      <c r="E179" s="7">
        <f t="shared" si="2"/>
        <v>136.30000000000001</v>
      </c>
      <c r="F179" s="8"/>
    </row>
    <row r="180" spans="1:6" ht="18" customHeight="1">
      <c r="A180" s="4" t="s">
        <v>11</v>
      </c>
      <c r="B180" s="4" t="str">
        <f>"2020040921"</f>
        <v>2020040921</v>
      </c>
      <c r="C180" s="5">
        <v>71.2</v>
      </c>
      <c r="D180" s="6">
        <v>65</v>
      </c>
      <c r="E180" s="7">
        <f t="shared" si="2"/>
        <v>136.19999999999999</v>
      </c>
      <c r="F180" s="8"/>
    </row>
    <row r="181" spans="1:6" ht="18" customHeight="1">
      <c r="A181" s="4" t="s">
        <v>11</v>
      </c>
      <c r="B181" s="4" t="str">
        <f>"2020046930"</f>
        <v>2020046930</v>
      </c>
      <c r="C181" s="5">
        <v>70.5</v>
      </c>
      <c r="D181" s="6">
        <v>65.5</v>
      </c>
      <c r="E181" s="7">
        <f t="shared" si="2"/>
        <v>136</v>
      </c>
      <c r="F181" s="8"/>
    </row>
    <row r="182" spans="1:6" ht="18" customHeight="1">
      <c r="A182" s="4" t="s">
        <v>11</v>
      </c>
      <c r="B182" s="4" t="str">
        <f>"2020045327"</f>
        <v>2020045327</v>
      </c>
      <c r="C182" s="5">
        <v>65.400000000000006</v>
      </c>
      <c r="D182" s="6">
        <v>70.5</v>
      </c>
      <c r="E182" s="7">
        <f t="shared" si="2"/>
        <v>135.9</v>
      </c>
      <c r="F182" s="8"/>
    </row>
    <row r="183" spans="1:6" ht="18" customHeight="1">
      <c r="A183" s="4" t="s">
        <v>11</v>
      </c>
      <c r="B183" s="4" t="str">
        <f>"2020020824"</f>
        <v>2020020824</v>
      </c>
      <c r="C183" s="5">
        <v>63.4</v>
      </c>
      <c r="D183" s="6">
        <v>72.5</v>
      </c>
      <c r="E183" s="7">
        <f t="shared" si="2"/>
        <v>135.9</v>
      </c>
      <c r="F183" s="8"/>
    </row>
    <row r="184" spans="1:6" ht="18" customHeight="1">
      <c r="A184" s="4" t="s">
        <v>11</v>
      </c>
      <c r="B184" s="4" t="str">
        <f>"2020031624"</f>
        <v>2020031624</v>
      </c>
      <c r="C184" s="5">
        <v>68.7</v>
      </c>
      <c r="D184" s="6">
        <v>67</v>
      </c>
      <c r="E184" s="7">
        <f t="shared" si="2"/>
        <v>135.69999999999999</v>
      </c>
      <c r="F184" s="8"/>
    </row>
    <row r="185" spans="1:6" ht="18" customHeight="1">
      <c r="A185" s="4" t="s">
        <v>11</v>
      </c>
      <c r="B185" s="4" t="str">
        <f>"2020047521"</f>
        <v>2020047521</v>
      </c>
      <c r="C185" s="5">
        <v>62.1</v>
      </c>
      <c r="D185" s="6">
        <v>73.5</v>
      </c>
      <c r="E185" s="7">
        <f t="shared" si="2"/>
        <v>135.6</v>
      </c>
      <c r="F185" s="8"/>
    </row>
    <row r="186" spans="1:6" ht="18" customHeight="1">
      <c r="A186" s="4" t="s">
        <v>11</v>
      </c>
      <c r="B186" s="4" t="str">
        <f>"2020040518"</f>
        <v>2020040518</v>
      </c>
      <c r="C186" s="5">
        <v>81.2</v>
      </c>
      <c r="D186" s="6">
        <v>53.5</v>
      </c>
      <c r="E186" s="7">
        <f t="shared" si="2"/>
        <v>134.69999999999999</v>
      </c>
      <c r="F186" s="8"/>
    </row>
    <row r="187" spans="1:6" ht="18" customHeight="1">
      <c r="A187" s="4" t="s">
        <v>11</v>
      </c>
      <c r="B187" s="4" t="str">
        <f>"2020013111"</f>
        <v>2020013111</v>
      </c>
      <c r="C187" s="5">
        <v>64.7</v>
      </c>
      <c r="D187" s="6">
        <v>70</v>
      </c>
      <c r="E187" s="7">
        <f t="shared" si="2"/>
        <v>134.69999999999999</v>
      </c>
      <c r="F187" s="8"/>
    </row>
    <row r="188" spans="1:6" ht="18" customHeight="1">
      <c r="A188" s="4" t="s">
        <v>11</v>
      </c>
      <c r="B188" s="4" t="str">
        <f>"2020021324"</f>
        <v>2020021324</v>
      </c>
      <c r="C188" s="5">
        <v>64.5</v>
      </c>
      <c r="D188" s="6">
        <v>70</v>
      </c>
      <c r="E188" s="7">
        <f t="shared" si="2"/>
        <v>134.5</v>
      </c>
      <c r="F188" s="8"/>
    </row>
    <row r="189" spans="1:6" ht="18" customHeight="1">
      <c r="A189" s="4" t="s">
        <v>11</v>
      </c>
      <c r="B189" s="4" t="str">
        <f>"2020047029"</f>
        <v>2020047029</v>
      </c>
      <c r="C189" s="5">
        <v>67.3</v>
      </c>
      <c r="D189" s="6">
        <v>67</v>
      </c>
      <c r="E189" s="7">
        <f t="shared" si="2"/>
        <v>134.30000000000001</v>
      </c>
      <c r="F189" s="8"/>
    </row>
    <row r="190" spans="1:6" ht="18" customHeight="1">
      <c r="A190" s="4" t="s">
        <v>11</v>
      </c>
      <c r="B190" s="4" t="str">
        <f>"2020033030"</f>
        <v>2020033030</v>
      </c>
      <c r="C190" s="5">
        <v>66.599999999999994</v>
      </c>
      <c r="D190" s="6">
        <v>67.5</v>
      </c>
      <c r="E190" s="7">
        <f t="shared" si="2"/>
        <v>134.1</v>
      </c>
      <c r="F190" s="8"/>
    </row>
    <row r="191" spans="1:6" ht="18" customHeight="1">
      <c r="A191" s="4" t="s">
        <v>11</v>
      </c>
      <c r="B191" s="4" t="str">
        <f>"2020020930"</f>
        <v>2020020930</v>
      </c>
      <c r="C191" s="5">
        <v>73.5</v>
      </c>
      <c r="D191" s="6">
        <v>60.5</v>
      </c>
      <c r="E191" s="7">
        <f t="shared" si="2"/>
        <v>134</v>
      </c>
      <c r="F191" s="8"/>
    </row>
    <row r="192" spans="1:6" ht="18" customHeight="1">
      <c r="A192" s="4" t="s">
        <v>11</v>
      </c>
      <c r="B192" s="4" t="str">
        <f>"2020023421"</f>
        <v>2020023421</v>
      </c>
      <c r="C192" s="5">
        <v>65.2</v>
      </c>
      <c r="D192" s="6">
        <v>68.5</v>
      </c>
      <c r="E192" s="7">
        <f t="shared" si="2"/>
        <v>133.69999999999999</v>
      </c>
      <c r="F192" s="8"/>
    </row>
    <row r="193" spans="1:6" ht="18" customHeight="1">
      <c r="A193" s="4" t="s">
        <v>11</v>
      </c>
      <c r="B193" s="4" t="str">
        <f>"2020024801"</f>
        <v>2020024801</v>
      </c>
      <c r="C193" s="5">
        <v>65.900000000000006</v>
      </c>
      <c r="D193" s="6">
        <v>67.5</v>
      </c>
      <c r="E193" s="7">
        <f t="shared" si="2"/>
        <v>133.4</v>
      </c>
      <c r="F193" s="8"/>
    </row>
    <row r="194" spans="1:6" ht="18" customHeight="1">
      <c r="A194" s="4" t="s">
        <v>11</v>
      </c>
      <c r="B194" s="4" t="str">
        <f>"2020044013"</f>
        <v>2020044013</v>
      </c>
      <c r="C194" s="5">
        <v>65.7</v>
      </c>
      <c r="D194" s="6">
        <v>67.5</v>
      </c>
      <c r="E194" s="7">
        <f t="shared" si="2"/>
        <v>133.19999999999999</v>
      </c>
      <c r="F194" s="8"/>
    </row>
    <row r="195" spans="1:6" ht="18" customHeight="1">
      <c r="A195" s="4" t="s">
        <v>11</v>
      </c>
      <c r="B195" s="4" t="str">
        <f>"2020043707"</f>
        <v>2020043707</v>
      </c>
      <c r="C195" s="5">
        <v>64</v>
      </c>
      <c r="D195" s="6">
        <v>69</v>
      </c>
      <c r="E195" s="7">
        <f t="shared" ref="E195:E258" si="3">SUM(C195:D195)</f>
        <v>133</v>
      </c>
      <c r="F195" s="8"/>
    </row>
    <row r="196" spans="1:6" ht="18" customHeight="1">
      <c r="A196" s="4" t="s">
        <v>11</v>
      </c>
      <c r="B196" s="4" t="str">
        <f>"2020022411"</f>
        <v>2020022411</v>
      </c>
      <c r="C196" s="5">
        <v>67.8</v>
      </c>
      <c r="D196" s="6">
        <v>65</v>
      </c>
      <c r="E196" s="7">
        <f t="shared" si="3"/>
        <v>132.80000000000001</v>
      </c>
      <c r="F196" s="8"/>
    </row>
    <row r="197" spans="1:6" ht="18" customHeight="1">
      <c r="A197" s="4" t="s">
        <v>11</v>
      </c>
      <c r="B197" s="4" t="str">
        <f>"2020033726"</f>
        <v>2020033726</v>
      </c>
      <c r="C197" s="5">
        <v>63.8</v>
      </c>
      <c r="D197" s="6">
        <v>69</v>
      </c>
      <c r="E197" s="7">
        <f t="shared" si="3"/>
        <v>132.80000000000001</v>
      </c>
      <c r="F197" s="8"/>
    </row>
    <row r="198" spans="1:6" ht="18" customHeight="1">
      <c r="A198" s="4" t="s">
        <v>11</v>
      </c>
      <c r="B198" s="4" t="str">
        <f>"2020033830"</f>
        <v>2020033830</v>
      </c>
      <c r="C198" s="5">
        <v>65.8</v>
      </c>
      <c r="D198" s="6">
        <v>66.5</v>
      </c>
      <c r="E198" s="7">
        <f t="shared" si="3"/>
        <v>132.30000000000001</v>
      </c>
      <c r="F198" s="8"/>
    </row>
    <row r="199" spans="1:6" ht="18" customHeight="1">
      <c r="A199" s="4" t="s">
        <v>11</v>
      </c>
      <c r="B199" s="4" t="str">
        <f>"2020030514"</f>
        <v>2020030514</v>
      </c>
      <c r="C199" s="5">
        <v>64.7</v>
      </c>
      <c r="D199" s="6">
        <v>67.5</v>
      </c>
      <c r="E199" s="7">
        <f t="shared" si="3"/>
        <v>132.19999999999999</v>
      </c>
      <c r="F199" s="8"/>
    </row>
    <row r="200" spans="1:6" ht="18" customHeight="1">
      <c r="A200" s="4" t="s">
        <v>11</v>
      </c>
      <c r="B200" s="4" t="str">
        <f>"2020047323"</f>
        <v>2020047323</v>
      </c>
      <c r="C200" s="5">
        <v>64.7</v>
      </c>
      <c r="D200" s="6">
        <v>67.5</v>
      </c>
      <c r="E200" s="7">
        <f t="shared" si="3"/>
        <v>132.19999999999999</v>
      </c>
      <c r="F200" s="8"/>
    </row>
    <row r="201" spans="1:6" ht="18" customHeight="1">
      <c r="A201" s="4" t="s">
        <v>11</v>
      </c>
      <c r="B201" s="4" t="str">
        <f>"2020041209"</f>
        <v>2020041209</v>
      </c>
      <c r="C201" s="5">
        <v>72.099999999999994</v>
      </c>
      <c r="D201" s="6">
        <v>60</v>
      </c>
      <c r="E201" s="7">
        <f t="shared" si="3"/>
        <v>132.1</v>
      </c>
      <c r="F201" s="8"/>
    </row>
    <row r="202" spans="1:6" ht="18" customHeight="1">
      <c r="A202" s="4" t="s">
        <v>11</v>
      </c>
      <c r="B202" s="4" t="str">
        <f>"2020043824"</f>
        <v>2020043824</v>
      </c>
      <c r="C202" s="5">
        <v>68.599999999999994</v>
      </c>
      <c r="D202" s="6">
        <v>63.5</v>
      </c>
      <c r="E202" s="7">
        <f t="shared" si="3"/>
        <v>132.1</v>
      </c>
      <c r="F202" s="8"/>
    </row>
    <row r="203" spans="1:6" ht="18" customHeight="1">
      <c r="A203" s="4" t="s">
        <v>11</v>
      </c>
      <c r="B203" s="4" t="str">
        <f>"2020023503"</f>
        <v>2020023503</v>
      </c>
      <c r="C203" s="5">
        <v>70.400000000000006</v>
      </c>
      <c r="D203" s="6">
        <v>60.5</v>
      </c>
      <c r="E203" s="7">
        <f t="shared" si="3"/>
        <v>130.9</v>
      </c>
      <c r="F203" s="8"/>
    </row>
    <row r="204" spans="1:6" ht="18" customHeight="1">
      <c r="A204" s="4" t="s">
        <v>11</v>
      </c>
      <c r="B204" s="4" t="str">
        <f>"2020024105"</f>
        <v>2020024105</v>
      </c>
      <c r="C204" s="5">
        <v>67.900000000000006</v>
      </c>
      <c r="D204" s="6">
        <v>63</v>
      </c>
      <c r="E204" s="7">
        <f t="shared" si="3"/>
        <v>130.9</v>
      </c>
      <c r="F204" s="8"/>
    </row>
    <row r="205" spans="1:6" ht="18" customHeight="1">
      <c r="A205" s="4" t="s">
        <v>11</v>
      </c>
      <c r="B205" s="4" t="str">
        <f>"2020041626"</f>
        <v>2020041626</v>
      </c>
      <c r="C205" s="5">
        <v>67.099999999999994</v>
      </c>
      <c r="D205" s="6">
        <v>63.5</v>
      </c>
      <c r="E205" s="7">
        <f t="shared" si="3"/>
        <v>130.6</v>
      </c>
      <c r="F205" s="8"/>
    </row>
    <row r="206" spans="1:6" ht="18" customHeight="1">
      <c r="A206" s="4" t="s">
        <v>11</v>
      </c>
      <c r="B206" s="4" t="str">
        <f>"2020043011"</f>
        <v>2020043011</v>
      </c>
      <c r="C206" s="5">
        <v>67.099999999999994</v>
      </c>
      <c r="D206" s="6">
        <v>63.5</v>
      </c>
      <c r="E206" s="7">
        <f t="shared" si="3"/>
        <v>130.6</v>
      </c>
      <c r="F206" s="8"/>
    </row>
    <row r="207" spans="1:6" ht="18" customHeight="1">
      <c r="A207" s="4" t="s">
        <v>11</v>
      </c>
      <c r="B207" s="4" t="str">
        <f>"2020043920"</f>
        <v>2020043920</v>
      </c>
      <c r="C207" s="5">
        <v>67.400000000000006</v>
      </c>
      <c r="D207" s="6">
        <v>63</v>
      </c>
      <c r="E207" s="7">
        <f t="shared" si="3"/>
        <v>130.4</v>
      </c>
      <c r="F207" s="8"/>
    </row>
    <row r="208" spans="1:6" ht="18" customHeight="1">
      <c r="A208" s="4" t="s">
        <v>11</v>
      </c>
      <c r="B208" s="4" t="str">
        <f>"2020033823"</f>
        <v>2020033823</v>
      </c>
      <c r="C208" s="5">
        <v>66.900000000000006</v>
      </c>
      <c r="D208" s="6">
        <v>63</v>
      </c>
      <c r="E208" s="7">
        <f t="shared" si="3"/>
        <v>129.9</v>
      </c>
      <c r="F208" s="8"/>
    </row>
    <row r="209" spans="1:6" ht="18" customHeight="1">
      <c r="A209" s="4" t="s">
        <v>11</v>
      </c>
      <c r="B209" s="4" t="str">
        <f>"2020011606"</f>
        <v>2020011606</v>
      </c>
      <c r="C209" s="5">
        <v>63.9</v>
      </c>
      <c r="D209" s="6">
        <v>65.5</v>
      </c>
      <c r="E209" s="7">
        <f t="shared" si="3"/>
        <v>129.4</v>
      </c>
      <c r="F209" s="8"/>
    </row>
    <row r="210" spans="1:6" ht="18" customHeight="1">
      <c r="A210" s="4" t="s">
        <v>11</v>
      </c>
      <c r="B210" s="4" t="str">
        <f>"2020041314"</f>
        <v>2020041314</v>
      </c>
      <c r="C210" s="5">
        <v>72.5</v>
      </c>
      <c r="D210" s="6">
        <v>56.5</v>
      </c>
      <c r="E210" s="7">
        <f t="shared" si="3"/>
        <v>129</v>
      </c>
      <c r="F210" s="8"/>
    </row>
    <row r="211" spans="1:6" ht="18" customHeight="1">
      <c r="A211" s="4" t="s">
        <v>11</v>
      </c>
      <c r="B211" s="4" t="str">
        <f>"2020045923"</f>
        <v>2020045923</v>
      </c>
      <c r="C211" s="5">
        <v>62.4</v>
      </c>
      <c r="D211" s="6">
        <v>66.5</v>
      </c>
      <c r="E211" s="7">
        <f t="shared" si="3"/>
        <v>128.9</v>
      </c>
      <c r="F211" s="8"/>
    </row>
    <row r="212" spans="1:6" ht="18" customHeight="1">
      <c r="A212" s="4" t="s">
        <v>11</v>
      </c>
      <c r="B212" s="4" t="str">
        <f>"2020022718"</f>
        <v>2020022718</v>
      </c>
      <c r="C212" s="5">
        <v>65.8</v>
      </c>
      <c r="D212" s="6">
        <v>63</v>
      </c>
      <c r="E212" s="7">
        <f t="shared" si="3"/>
        <v>128.80000000000001</v>
      </c>
      <c r="F212" s="8"/>
    </row>
    <row r="213" spans="1:6" ht="18" customHeight="1">
      <c r="A213" s="4" t="s">
        <v>11</v>
      </c>
      <c r="B213" s="4" t="str">
        <f>"2020031502"</f>
        <v>2020031502</v>
      </c>
      <c r="C213" s="5">
        <v>62.8</v>
      </c>
      <c r="D213" s="6">
        <v>66</v>
      </c>
      <c r="E213" s="7">
        <f t="shared" si="3"/>
        <v>128.80000000000001</v>
      </c>
      <c r="F213" s="8"/>
    </row>
    <row r="214" spans="1:6" ht="18" customHeight="1">
      <c r="A214" s="4" t="s">
        <v>11</v>
      </c>
      <c r="B214" s="4" t="str">
        <f>"2020040109"</f>
        <v>2020040109</v>
      </c>
      <c r="C214" s="5">
        <v>63.2</v>
      </c>
      <c r="D214" s="6">
        <v>65</v>
      </c>
      <c r="E214" s="7">
        <f t="shared" si="3"/>
        <v>128.19999999999999</v>
      </c>
      <c r="F214" s="8"/>
    </row>
    <row r="215" spans="1:6" ht="18" customHeight="1">
      <c r="A215" s="4" t="s">
        <v>11</v>
      </c>
      <c r="B215" s="4" t="str">
        <f>"2020033720"</f>
        <v>2020033720</v>
      </c>
      <c r="C215" s="5">
        <v>62.5</v>
      </c>
      <c r="D215" s="6">
        <v>65.5</v>
      </c>
      <c r="E215" s="7">
        <f t="shared" si="3"/>
        <v>128</v>
      </c>
      <c r="F215" s="8"/>
    </row>
    <row r="216" spans="1:6" ht="18" customHeight="1">
      <c r="A216" s="4" t="s">
        <v>11</v>
      </c>
      <c r="B216" s="4" t="str">
        <f>"2020045705"</f>
        <v>2020045705</v>
      </c>
      <c r="C216" s="5">
        <v>59</v>
      </c>
      <c r="D216" s="6">
        <v>69</v>
      </c>
      <c r="E216" s="7">
        <f t="shared" si="3"/>
        <v>128</v>
      </c>
      <c r="F216" s="8"/>
    </row>
    <row r="217" spans="1:6" ht="18" customHeight="1">
      <c r="A217" s="4" t="s">
        <v>11</v>
      </c>
      <c r="B217" s="4" t="str">
        <f>"2020011907"</f>
        <v>2020011907</v>
      </c>
      <c r="C217" s="5">
        <v>59.6</v>
      </c>
      <c r="D217" s="6">
        <v>68</v>
      </c>
      <c r="E217" s="7">
        <f t="shared" si="3"/>
        <v>127.6</v>
      </c>
      <c r="F217" s="8"/>
    </row>
    <row r="218" spans="1:6" ht="18" customHeight="1">
      <c r="A218" s="4" t="s">
        <v>11</v>
      </c>
      <c r="B218" s="4" t="str">
        <f>"2020045527"</f>
        <v>2020045527</v>
      </c>
      <c r="C218" s="5">
        <v>54.7</v>
      </c>
      <c r="D218" s="6">
        <v>72.5</v>
      </c>
      <c r="E218" s="7">
        <f t="shared" si="3"/>
        <v>127.2</v>
      </c>
      <c r="F218" s="8"/>
    </row>
    <row r="219" spans="1:6" ht="18" customHeight="1">
      <c r="A219" s="4" t="s">
        <v>11</v>
      </c>
      <c r="B219" s="4" t="str">
        <f>"2020023701"</f>
        <v>2020023701</v>
      </c>
      <c r="C219" s="5">
        <v>61.1</v>
      </c>
      <c r="D219" s="6">
        <v>66</v>
      </c>
      <c r="E219" s="7">
        <f t="shared" si="3"/>
        <v>127.1</v>
      </c>
      <c r="F219" s="8"/>
    </row>
    <row r="220" spans="1:6" ht="18" customHeight="1">
      <c r="A220" s="4" t="s">
        <v>11</v>
      </c>
      <c r="B220" s="4" t="str">
        <f>"2020030310"</f>
        <v>2020030310</v>
      </c>
      <c r="C220" s="5">
        <v>56.2</v>
      </c>
      <c r="D220" s="6">
        <v>70.5</v>
      </c>
      <c r="E220" s="7">
        <f t="shared" si="3"/>
        <v>126.7</v>
      </c>
      <c r="F220" s="8"/>
    </row>
    <row r="221" spans="1:6" ht="18" customHeight="1">
      <c r="A221" s="4" t="s">
        <v>11</v>
      </c>
      <c r="B221" s="4" t="str">
        <f>"2020020709"</f>
        <v>2020020709</v>
      </c>
      <c r="C221" s="5">
        <v>65.400000000000006</v>
      </c>
      <c r="D221" s="6">
        <v>61</v>
      </c>
      <c r="E221" s="7">
        <f t="shared" si="3"/>
        <v>126.4</v>
      </c>
      <c r="F221" s="8"/>
    </row>
    <row r="222" spans="1:6" ht="18" customHeight="1">
      <c r="A222" s="4" t="s">
        <v>11</v>
      </c>
      <c r="B222" s="4" t="str">
        <f>"2020020417"</f>
        <v>2020020417</v>
      </c>
      <c r="C222" s="5">
        <v>63.6</v>
      </c>
      <c r="D222" s="6">
        <v>62.5</v>
      </c>
      <c r="E222" s="7">
        <f t="shared" si="3"/>
        <v>126.1</v>
      </c>
      <c r="F222" s="8"/>
    </row>
    <row r="223" spans="1:6" ht="18" customHeight="1">
      <c r="A223" s="4" t="s">
        <v>11</v>
      </c>
      <c r="B223" s="4" t="str">
        <f>"2020013720"</f>
        <v>2020013720</v>
      </c>
      <c r="C223" s="5">
        <v>58.4</v>
      </c>
      <c r="D223" s="6">
        <v>67.5</v>
      </c>
      <c r="E223" s="7">
        <f t="shared" si="3"/>
        <v>125.9</v>
      </c>
      <c r="F223" s="8"/>
    </row>
    <row r="224" spans="1:6" ht="18" customHeight="1">
      <c r="A224" s="4" t="s">
        <v>11</v>
      </c>
      <c r="B224" s="4" t="str">
        <f>"2020033618"</f>
        <v>2020033618</v>
      </c>
      <c r="C224" s="5">
        <v>58.2</v>
      </c>
      <c r="D224" s="6">
        <v>67.5</v>
      </c>
      <c r="E224" s="7">
        <f t="shared" si="3"/>
        <v>125.7</v>
      </c>
      <c r="F224" s="8"/>
    </row>
    <row r="225" spans="1:6" ht="18" customHeight="1">
      <c r="A225" s="4" t="s">
        <v>11</v>
      </c>
      <c r="B225" s="4" t="str">
        <f>"2020012922"</f>
        <v>2020012922</v>
      </c>
      <c r="C225" s="5">
        <v>64.5</v>
      </c>
      <c r="D225" s="6">
        <v>61</v>
      </c>
      <c r="E225" s="7">
        <f t="shared" si="3"/>
        <v>125.5</v>
      </c>
      <c r="F225" s="8"/>
    </row>
    <row r="226" spans="1:6" ht="18" customHeight="1">
      <c r="A226" s="4" t="s">
        <v>11</v>
      </c>
      <c r="B226" s="4" t="str">
        <f>"2020040502"</f>
        <v>2020040502</v>
      </c>
      <c r="C226" s="5">
        <v>66.2</v>
      </c>
      <c r="D226" s="6">
        <v>59</v>
      </c>
      <c r="E226" s="7">
        <f t="shared" si="3"/>
        <v>125.2</v>
      </c>
      <c r="F226" s="8"/>
    </row>
    <row r="227" spans="1:6" ht="18" customHeight="1">
      <c r="A227" s="4" t="s">
        <v>11</v>
      </c>
      <c r="B227" s="4" t="str">
        <f>"2020032408"</f>
        <v>2020032408</v>
      </c>
      <c r="C227" s="5">
        <v>70.900000000000006</v>
      </c>
      <c r="D227" s="6">
        <v>53.5</v>
      </c>
      <c r="E227" s="7">
        <f t="shared" si="3"/>
        <v>124.4</v>
      </c>
      <c r="F227" s="8"/>
    </row>
    <row r="228" spans="1:6" ht="18" customHeight="1">
      <c r="A228" s="4" t="s">
        <v>11</v>
      </c>
      <c r="B228" s="4" t="str">
        <f>"2020042118"</f>
        <v>2020042118</v>
      </c>
      <c r="C228" s="5">
        <v>64</v>
      </c>
      <c r="D228" s="6">
        <v>60</v>
      </c>
      <c r="E228" s="7">
        <f t="shared" si="3"/>
        <v>124</v>
      </c>
      <c r="F228" s="8"/>
    </row>
    <row r="229" spans="1:6" ht="18" customHeight="1">
      <c r="A229" s="4" t="s">
        <v>11</v>
      </c>
      <c r="B229" s="4" t="str">
        <f>"2020023927"</f>
        <v>2020023927</v>
      </c>
      <c r="C229" s="5">
        <v>72.7</v>
      </c>
      <c r="D229" s="6">
        <v>51</v>
      </c>
      <c r="E229" s="7">
        <f t="shared" si="3"/>
        <v>123.7</v>
      </c>
      <c r="F229" s="8"/>
    </row>
    <row r="230" spans="1:6" ht="18" customHeight="1">
      <c r="A230" s="4" t="s">
        <v>11</v>
      </c>
      <c r="B230" s="4" t="str">
        <f>"2020021121"</f>
        <v>2020021121</v>
      </c>
      <c r="C230" s="5">
        <v>61.7</v>
      </c>
      <c r="D230" s="6">
        <v>62</v>
      </c>
      <c r="E230" s="7">
        <f t="shared" si="3"/>
        <v>123.7</v>
      </c>
      <c r="F230" s="8"/>
    </row>
    <row r="231" spans="1:6" ht="18" customHeight="1">
      <c r="A231" s="4" t="s">
        <v>11</v>
      </c>
      <c r="B231" s="4" t="str">
        <f>"2020023118"</f>
        <v>2020023118</v>
      </c>
      <c r="C231" s="5">
        <v>64.5</v>
      </c>
      <c r="D231" s="6">
        <v>59</v>
      </c>
      <c r="E231" s="7">
        <f t="shared" si="3"/>
        <v>123.5</v>
      </c>
      <c r="F231" s="8"/>
    </row>
    <row r="232" spans="1:6" ht="18" customHeight="1">
      <c r="A232" s="4" t="s">
        <v>11</v>
      </c>
      <c r="B232" s="4" t="str">
        <f>"2020033727"</f>
        <v>2020033727</v>
      </c>
      <c r="C232" s="5">
        <v>61.6</v>
      </c>
      <c r="D232" s="6">
        <v>61.5</v>
      </c>
      <c r="E232" s="7">
        <f t="shared" si="3"/>
        <v>123.1</v>
      </c>
      <c r="F232" s="8"/>
    </row>
    <row r="233" spans="1:6" ht="18" customHeight="1">
      <c r="A233" s="4" t="s">
        <v>11</v>
      </c>
      <c r="B233" s="4" t="str">
        <f>"2020012628"</f>
        <v>2020012628</v>
      </c>
      <c r="C233" s="5">
        <v>72.900000000000006</v>
      </c>
      <c r="D233" s="6">
        <v>50</v>
      </c>
      <c r="E233" s="7">
        <f t="shared" si="3"/>
        <v>122.9</v>
      </c>
      <c r="F233" s="8"/>
    </row>
    <row r="234" spans="1:6" ht="18" customHeight="1">
      <c r="A234" s="4" t="s">
        <v>11</v>
      </c>
      <c r="B234" s="4" t="str">
        <f>"2020031117"</f>
        <v>2020031117</v>
      </c>
      <c r="C234" s="5">
        <v>56.9</v>
      </c>
      <c r="D234" s="6">
        <v>65.5</v>
      </c>
      <c r="E234" s="7">
        <f t="shared" si="3"/>
        <v>122.4</v>
      </c>
      <c r="F234" s="8"/>
    </row>
    <row r="235" spans="1:6" ht="18" customHeight="1">
      <c r="A235" s="4" t="s">
        <v>11</v>
      </c>
      <c r="B235" s="4" t="str">
        <f>"2020022307"</f>
        <v>2020022307</v>
      </c>
      <c r="C235" s="5">
        <v>66.8</v>
      </c>
      <c r="D235" s="6">
        <v>55.5</v>
      </c>
      <c r="E235" s="7">
        <f t="shared" si="3"/>
        <v>122.3</v>
      </c>
      <c r="F235" s="8"/>
    </row>
    <row r="236" spans="1:6" ht="18" customHeight="1">
      <c r="A236" s="4" t="s">
        <v>11</v>
      </c>
      <c r="B236" s="4" t="str">
        <f>"2020043218"</f>
        <v>2020043218</v>
      </c>
      <c r="C236" s="5">
        <v>64.400000000000006</v>
      </c>
      <c r="D236" s="6">
        <v>57</v>
      </c>
      <c r="E236" s="7">
        <f t="shared" si="3"/>
        <v>121.4</v>
      </c>
      <c r="F236" s="8"/>
    </row>
    <row r="237" spans="1:6" ht="18" customHeight="1">
      <c r="A237" s="4" t="s">
        <v>11</v>
      </c>
      <c r="B237" s="4" t="str">
        <f>"2020042503"</f>
        <v>2020042503</v>
      </c>
      <c r="C237" s="5">
        <v>64.099999999999994</v>
      </c>
      <c r="D237" s="6">
        <v>56.5</v>
      </c>
      <c r="E237" s="7">
        <f t="shared" si="3"/>
        <v>120.6</v>
      </c>
      <c r="F237" s="8"/>
    </row>
    <row r="238" spans="1:6" ht="18" customHeight="1">
      <c r="A238" s="4" t="s">
        <v>11</v>
      </c>
      <c r="B238" s="4" t="str">
        <f>"2020010705"</f>
        <v>2020010705</v>
      </c>
      <c r="C238" s="5">
        <v>61.9</v>
      </c>
      <c r="D238" s="6">
        <v>58</v>
      </c>
      <c r="E238" s="7">
        <f t="shared" si="3"/>
        <v>119.9</v>
      </c>
      <c r="F238" s="8"/>
    </row>
    <row r="239" spans="1:6" ht="18" customHeight="1">
      <c r="A239" s="4" t="s">
        <v>11</v>
      </c>
      <c r="B239" s="4" t="str">
        <f>"2020024123"</f>
        <v>2020024123</v>
      </c>
      <c r="C239" s="5">
        <v>65.3</v>
      </c>
      <c r="D239" s="6">
        <v>53</v>
      </c>
      <c r="E239" s="7">
        <f t="shared" si="3"/>
        <v>118.3</v>
      </c>
      <c r="F239" s="8"/>
    </row>
    <row r="240" spans="1:6" ht="18" customHeight="1">
      <c r="A240" s="4" t="s">
        <v>11</v>
      </c>
      <c r="B240" s="4" t="str">
        <f>"2020044530"</f>
        <v>2020044530</v>
      </c>
      <c r="C240" s="5">
        <v>54</v>
      </c>
      <c r="D240" s="6">
        <v>64</v>
      </c>
      <c r="E240" s="7">
        <f t="shared" si="3"/>
        <v>118</v>
      </c>
      <c r="F240" s="8"/>
    </row>
    <row r="241" spans="1:6" ht="18" customHeight="1">
      <c r="A241" s="4" t="s">
        <v>11</v>
      </c>
      <c r="B241" s="4" t="str">
        <f>"2020042711"</f>
        <v>2020042711</v>
      </c>
      <c r="C241" s="5">
        <v>56.8</v>
      </c>
      <c r="D241" s="6">
        <v>60</v>
      </c>
      <c r="E241" s="7">
        <f t="shared" si="3"/>
        <v>116.8</v>
      </c>
      <c r="F241" s="8"/>
    </row>
    <row r="242" spans="1:6" ht="18" customHeight="1">
      <c r="A242" s="4" t="s">
        <v>11</v>
      </c>
      <c r="B242" s="4" t="str">
        <f>"2020046317"</f>
        <v>2020046317</v>
      </c>
      <c r="C242" s="5">
        <v>61.1</v>
      </c>
      <c r="D242" s="6">
        <v>55</v>
      </c>
      <c r="E242" s="7">
        <f t="shared" si="3"/>
        <v>116.1</v>
      </c>
      <c r="F242" s="8"/>
    </row>
    <row r="243" spans="1:6" ht="18" customHeight="1">
      <c r="A243" s="4" t="s">
        <v>11</v>
      </c>
      <c r="B243" s="4" t="str">
        <f>"2020042501"</f>
        <v>2020042501</v>
      </c>
      <c r="C243" s="5">
        <v>67.5</v>
      </c>
      <c r="D243" s="6">
        <v>48.5</v>
      </c>
      <c r="E243" s="7">
        <f t="shared" si="3"/>
        <v>116</v>
      </c>
      <c r="F243" s="8"/>
    </row>
    <row r="244" spans="1:6" ht="18" customHeight="1">
      <c r="A244" s="4" t="s">
        <v>11</v>
      </c>
      <c r="B244" s="4" t="str">
        <f>"2020041111"</f>
        <v>2020041111</v>
      </c>
      <c r="C244" s="5">
        <v>64.099999999999994</v>
      </c>
      <c r="D244" s="6">
        <v>51.5</v>
      </c>
      <c r="E244" s="7">
        <f t="shared" si="3"/>
        <v>115.6</v>
      </c>
      <c r="F244" s="8"/>
    </row>
    <row r="245" spans="1:6" ht="18" customHeight="1">
      <c r="A245" s="4" t="s">
        <v>11</v>
      </c>
      <c r="B245" s="4" t="str">
        <f>"2020045911"</f>
        <v>2020045911</v>
      </c>
      <c r="C245" s="5">
        <v>58.6</v>
      </c>
      <c r="D245" s="6">
        <v>56</v>
      </c>
      <c r="E245" s="7">
        <f t="shared" si="3"/>
        <v>114.6</v>
      </c>
      <c r="F245" s="8"/>
    </row>
    <row r="246" spans="1:6" ht="18" customHeight="1">
      <c r="A246" s="4" t="s">
        <v>11</v>
      </c>
      <c r="B246" s="4" t="str">
        <f>"2020020121"</f>
        <v>2020020121</v>
      </c>
      <c r="C246" s="5">
        <v>57.1</v>
      </c>
      <c r="D246" s="6">
        <v>57.5</v>
      </c>
      <c r="E246" s="7">
        <f t="shared" si="3"/>
        <v>114.6</v>
      </c>
      <c r="F246" s="8"/>
    </row>
    <row r="247" spans="1:6" ht="18" customHeight="1">
      <c r="A247" s="4" t="s">
        <v>11</v>
      </c>
      <c r="B247" s="4" t="str">
        <f>"2020042317"</f>
        <v>2020042317</v>
      </c>
      <c r="C247" s="5">
        <v>57.5</v>
      </c>
      <c r="D247" s="6">
        <v>56</v>
      </c>
      <c r="E247" s="7">
        <f t="shared" si="3"/>
        <v>113.5</v>
      </c>
      <c r="F247" s="8"/>
    </row>
    <row r="248" spans="1:6" ht="18" customHeight="1">
      <c r="A248" s="4" t="s">
        <v>11</v>
      </c>
      <c r="B248" s="4" t="str">
        <f>"2020022503"</f>
        <v>2020022503</v>
      </c>
      <c r="C248" s="5">
        <v>63.1</v>
      </c>
      <c r="D248" s="6">
        <v>50</v>
      </c>
      <c r="E248" s="7">
        <f t="shared" si="3"/>
        <v>113.1</v>
      </c>
      <c r="F248" s="8"/>
    </row>
    <row r="249" spans="1:6" ht="18" customHeight="1">
      <c r="A249" s="4" t="s">
        <v>11</v>
      </c>
      <c r="B249" s="4" t="str">
        <f>"2020044506"</f>
        <v>2020044506</v>
      </c>
      <c r="C249" s="5">
        <v>58</v>
      </c>
      <c r="D249" s="6">
        <v>55</v>
      </c>
      <c r="E249" s="7">
        <f t="shared" si="3"/>
        <v>113</v>
      </c>
      <c r="F249" s="8"/>
    </row>
    <row r="250" spans="1:6" ht="18" customHeight="1">
      <c r="A250" s="4" t="s">
        <v>11</v>
      </c>
      <c r="B250" s="4" t="str">
        <f>"2020047509"</f>
        <v>2020047509</v>
      </c>
      <c r="C250" s="5">
        <v>62.9</v>
      </c>
      <c r="D250" s="6">
        <v>50</v>
      </c>
      <c r="E250" s="7">
        <f t="shared" si="3"/>
        <v>112.9</v>
      </c>
      <c r="F250" s="8"/>
    </row>
    <row r="251" spans="1:6" ht="18" customHeight="1">
      <c r="A251" s="4" t="s">
        <v>11</v>
      </c>
      <c r="B251" s="4" t="str">
        <f>"2020044801"</f>
        <v>2020044801</v>
      </c>
      <c r="C251" s="5">
        <v>58.1</v>
      </c>
      <c r="D251" s="6">
        <v>54.5</v>
      </c>
      <c r="E251" s="7">
        <f t="shared" si="3"/>
        <v>112.6</v>
      </c>
      <c r="F251" s="8"/>
    </row>
    <row r="252" spans="1:6" ht="18" customHeight="1">
      <c r="A252" s="4" t="s">
        <v>11</v>
      </c>
      <c r="B252" s="4" t="str">
        <f>"2020032720"</f>
        <v>2020032720</v>
      </c>
      <c r="C252" s="5">
        <v>56.8</v>
      </c>
      <c r="D252" s="6">
        <v>55.5</v>
      </c>
      <c r="E252" s="7">
        <f t="shared" si="3"/>
        <v>112.3</v>
      </c>
      <c r="F252" s="8"/>
    </row>
    <row r="253" spans="1:6" ht="18" customHeight="1">
      <c r="A253" s="4" t="s">
        <v>11</v>
      </c>
      <c r="B253" s="4" t="str">
        <f>"2020046527"</f>
        <v>2020046527</v>
      </c>
      <c r="C253" s="5">
        <v>60.7</v>
      </c>
      <c r="D253" s="6">
        <v>51</v>
      </c>
      <c r="E253" s="7">
        <f t="shared" si="3"/>
        <v>111.7</v>
      </c>
      <c r="F253" s="8"/>
    </row>
    <row r="254" spans="1:6" ht="18" customHeight="1">
      <c r="A254" s="4" t="s">
        <v>11</v>
      </c>
      <c r="B254" s="4" t="str">
        <f>"2020043301"</f>
        <v>2020043301</v>
      </c>
      <c r="C254" s="5">
        <v>65.7</v>
      </c>
      <c r="D254" s="6">
        <v>44.5</v>
      </c>
      <c r="E254" s="7">
        <f t="shared" si="3"/>
        <v>110.2</v>
      </c>
      <c r="F254" s="8"/>
    </row>
    <row r="255" spans="1:6" ht="18" customHeight="1">
      <c r="A255" s="4" t="s">
        <v>11</v>
      </c>
      <c r="B255" s="4" t="str">
        <f>"2020042603"</f>
        <v>2020042603</v>
      </c>
      <c r="C255" s="5">
        <v>59.6</v>
      </c>
      <c r="D255" s="6">
        <v>50.5</v>
      </c>
      <c r="E255" s="7">
        <f t="shared" si="3"/>
        <v>110.1</v>
      </c>
      <c r="F255" s="8"/>
    </row>
    <row r="256" spans="1:6" ht="18" customHeight="1">
      <c r="A256" s="4" t="s">
        <v>11</v>
      </c>
      <c r="B256" s="4" t="str">
        <f>"2020013017"</f>
        <v>2020013017</v>
      </c>
      <c r="C256" s="5">
        <v>61</v>
      </c>
      <c r="D256" s="6">
        <v>49</v>
      </c>
      <c r="E256" s="7">
        <f t="shared" si="3"/>
        <v>110</v>
      </c>
      <c r="F256" s="8"/>
    </row>
    <row r="257" spans="1:6" ht="18" customHeight="1">
      <c r="A257" s="4" t="s">
        <v>11</v>
      </c>
      <c r="B257" s="4" t="str">
        <f>"2020033027"</f>
        <v>2020033027</v>
      </c>
      <c r="C257" s="5">
        <v>56.7</v>
      </c>
      <c r="D257" s="6">
        <v>53</v>
      </c>
      <c r="E257" s="7">
        <f t="shared" si="3"/>
        <v>109.7</v>
      </c>
      <c r="F257" s="8"/>
    </row>
    <row r="258" spans="1:6" ht="18" customHeight="1">
      <c r="A258" s="4" t="s">
        <v>11</v>
      </c>
      <c r="B258" s="4" t="str">
        <f>"2020022207"</f>
        <v>2020022207</v>
      </c>
      <c r="C258" s="5">
        <v>60.6</v>
      </c>
      <c r="D258" s="6">
        <v>49</v>
      </c>
      <c r="E258" s="7">
        <f t="shared" si="3"/>
        <v>109.6</v>
      </c>
      <c r="F258" s="8"/>
    </row>
    <row r="259" spans="1:6" ht="18" customHeight="1">
      <c r="A259" s="4" t="s">
        <v>11</v>
      </c>
      <c r="B259" s="4" t="str">
        <f>"2020022708"</f>
        <v>2020022708</v>
      </c>
      <c r="C259" s="5">
        <v>54.4</v>
      </c>
      <c r="D259" s="6">
        <v>53.5</v>
      </c>
      <c r="E259" s="7">
        <f t="shared" ref="E259:E322" si="4">SUM(C259:D259)</f>
        <v>107.9</v>
      </c>
      <c r="F259" s="8"/>
    </row>
    <row r="260" spans="1:6" ht="18" customHeight="1">
      <c r="A260" s="4" t="s">
        <v>11</v>
      </c>
      <c r="B260" s="4" t="str">
        <f>"2020024802"</f>
        <v>2020024802</v>
      </c>
      <c r="C260" s="5">
        <v>55.9</v>
      </c>
      <c r="D260" s="6">
        <v>44</v>
      </c>
      <c r="E260" s="7">
        <f t="shared" si="4"/>
        <v>99.9</v>
      </c>
      <c r="F260" s="8"/>
    </row>
    <row r="261" spans="1:6" ht="18" customHeight="1">
      <c r="A261" s="4" t="s">
        <v>11</v>
      </c>
      <c r="B261" s="4" t="str">
        <f>"2020030306"</f>
        <v>2020030306</v>
      </c>
      <c r="C261" s="5">
        <v>54.3</v>
      </c>
      <c r="D261" s="6">
        <v>44.5</v>
      </c>
      <c r="E261" s="7">
        <f t="shared" si="4"/>
        <v>98.8</v>
      </c>
      <c r="F261" s="8"/>
    </row>
    <row r="262" spans="1:6" ht="18" customHeight="1">
      <c r="A262" s="4" t="s">
        <v>11</v>
      </c>
      <c r="B262" s="4" t="str">
        <f>"2020020821"</f>
        <v>2020020821</v>
      </c>
      <c r="C262" s="5">
        <v>50</v>
      </c>
      <c r="D262" s="6">
        <v>44</v>
      </c>
      <c r="E262" s="7">
        <f t="shared" si="4"/>
        <v>94</v>
      </c>
      <c r="F262" s="8"/>
    </row>
    <row r="263" spans="1:6" ht="18" customHeight="1">
      <c r="A263" s="4" t="s">
        <v>11</v>
      </c>
      <c r="B263" s="4" t="str">
        <f>"2020012007"</f>
        <v>2020012007</v>
      </c>
      <c r="C263" s="5">
        <v>55.5</v>
      </c>
      <c r="D263" s="6">
        <v>38</v>
      </c>
      <c r="E263" s="7">
        <f t="shared" si="4"/>
        <v>93.5</v>
      </c>
      <c r="F263" s="8"/>
    </row>
    <row r="264" spans="1:6" ht="18" customHeight="1">
      <c r="A264" s="4" t="s">
        <v>11</v>
      </c>
      <c r="B264" s="4" t="str">
        <f>"2020033216"</f>
        <v>2020033216</v>
      </c>
      <c r="C264" s="5">
        <v>40.700000000000003</v>
      </c>
      <c r="D264" s="6">
        <v>31.5</v>
      </c>
      <c r="E264" s="7">
        <f t="shared" si="4"/>
        <v>72.2</v>
      </c>
      <c r="F264" s="8"/>
    </row>
    <row r="265" spans="1:6" ht="18" customHeight="1">
      <c r="A265" s="4" t="s">
        <v>11</v>
      </c>
      <c r="B265" s="4" t="str">
        <f>"2020031319"</f>
        <v>2020031319</v>
      </c>
      <c r="C265" s="5">
        <v>0</v>
      </c>
      <c r="D265" s="6">
        <v>53.5</v>
      </c>
      <c r="E265" s="7">
        <f t="shared" si="4"/>
        <v>53.5</v>
      </c>
      <c r="F265" s="8" t="s">
        <v>10</v>
      </c>
    </row>
    <row r="266" spans="1:6" ht="18" customHeight="1">
      <c r="A266" s="4" t="s">
        <v>11</v>
      </c>
      <c r="B266" s="4" t="str">
        <f>"2020010104"</f>
        <v>2020010104</v>
      </c>
      <c r="C266" s="5">
        <v>0</v>
      </c>
      <c r="D266" s="6">
        <v>50</v>
      </c>
      <c r="E266" s="7">
        <f t="shared" si="4"/>
        <v>50</v>
      </c>
      <c r="F266" s="8" t="s">
        <v>10</v>
      </c>
    </row>
    <row r="267" spans="1:6" ht="18" customHeight="1">
      <c r="A267" s="4" t="s">
        <v>11</v>
      </c>
      <c r="B267" s="4" t="str">
        <f>"2020010419"</f>
        <v>2020010419</v>
      </c>
      <c r="C267" s="5">
        <v>0</v>
      </c>
      <c r="D267" s="6">
        <v>0</v>
      </c>
      <c r="E267" s="7">
        <f t="shared" si="4"/>
        <v>0</v>
      </c>
      <c r="F267" s="9" t="s">
        <v>8</v>
      </c>
    </row>
    <row r="268" spans="1:6" ht="18" customHeight="1">
      <c r="A268" s="4" t="s">
        <v>11</v>
      </c>
      <c r="B268" s="4" t="str">
        <f>"2020010425"</f>
        <v>2020010425</v>
      </c>
      <c r="C268" s="5">
        <v>0</v>
      </c>
      <c r="D268" s="6">
        <v>0</v>
      </c>
      <c r="E268" s="7">
        <f t="shared" si="4"/>
        <v>0</v>
      </c>
      <c r="F268" s="9" t="s">
        <v>8</v>
      </c>
    </row>
    <row r="269" spans="1:6" ht="18" customHeight="1">
      <c r="A269" s="4" t="s">
        <v>11</v>
      </c>
      <c r="B269" s="4" t="str">
        <f>"2020010805"</f>
        <v>2020010805</v>
      </c>
      <c r="C269" s="5">
        <v>0</v>
      </c>
      <c r="D269" s="6">
        <v>0</v>
      </c>
      <c r="E269" s="7">
        <f t="shared" si="4"/>
        <v>0</v>
      </c>
      <c r="F269" s="9" t="s">
        <v>8</v>
      </c>
    </row>
    <row r="270" spans="1:6" ht="18" customHeight="1">
      <c r="A270" s="4" t="s">
        <v>11</v>
      </c>
      <c r="B270" s="4" t="str">
        <f>"2020011214"</f>
        <v>2020011214</v>
      </c>
      <c r="C270" s="5">
        <v>0</v>
      </c>
      <c r="D270" s="6">
        <v>0</v>
      </c>
      <c r="E270" s="7">
        <f t="shared" si="4"/>
        <v>0</v>
      </c>
      <c r="F270" s="9" t="s">
        <v>8</v>
      </c>
    </row>
    <row r="271" spans="1:6" ht="18" customHeight="1">
      <c r="A271" s="4" t="s">
        <v>11</v>
      </c>
      <c r="B271" s="4" t="str">
        <f>"2020011319"</f>
        <v>2020011319</v>
      </c>
      <c r="C271" s="5">
        <v>0</v>
      </c>
      <c r="D271" s="6">
        <v>0</v>
      </c>
      <c r="E271" s="7">
        <f t="shared" si="4"/>
        <v>0</v>
      </c>
      <c r="F271" s="9" t="s">
        <v>8</v>
      </c>
    </row>
    <row r="272" spans="1:6" ht="18" customHeight="1">
      <c r="A272" s="4" t="s">
        <v>11</v>
      </c>
      <c r="B272" s="4" t="str">
        <f>"2020011407"</f>
        <v>2020011407</v>
      </c>
      <c r="C272" s="5">
        <v>0</v>
      </c>
      <c r="D272" s="6">
        <v>0</v>
      </c>
      <c r="E272" s="7">
        <f t="shared" si="4"/>
        <v>0</v>
      </c>
      <c r="F272" s="9" t="s">
        <v>8</v>
      </c>
    </row>
    <row r="273" spans="1:6" ht="18" customHeight="1">
      <c r="A273" s="4" t="s">
        <v>11</v>
      </c>
      <c r="B273" s="4" t="str">
        <f>"2020011523"</f>
        <v>2020011523</v>
      </c>
      <c r="C273" s="5">
        <v>0</v>
      </c>
      <c r="D273" s="6">
        <v>0</v>
      </c>
      <c r="E273" s="7">
        <f t="shared" si="4"/>
        <v>0</v>
      </c>
      <c r="F273" s="9" t="s">
        <v>8</v>
      </c>
    </row>
    <row r="274" spans="1:6" ht="18" customHeight="1">
      <c r="A274" s="4" t="s">
        <v>11</v>
      </c>
      <c r="B274" s="4" t="str">
        <f>"2020011714"</f>
        <v>2020011714</v>
      </c>
      <c r="C274" s="5">
        <v>0</v>
      </c>
      <c r="D274" s="6">
        <v>0</v>
      </c>
      <c r="E274" s="7">
        <f t="shared" si="4"/>
        <v>0</v>
      </c>
      <c r="F274" s="9" t="s">
        <v>8</v>
      </c>
    </row>
    <row r="275" spans="1:6" ht="18" customHeight="1">
      <c r="A275" s="4" t="s">
        <v>11</v>
      </c>
      <c r="B275" s="4" t="str">
        <f>"2020012325"</f>
        <v>2020012325</v>
      </c>
      <c r="C275" s="5">
        <v>0</v>
      </c>
      <c r="D275" s="6">
        <v>0</v>
      </c>
      <c r="E275" s="7">
        <f t="shared" si="4"/>
        <v>0</v>
      </c>
      <c r="F275" s="9" t="s">
        <v>8</v>
      </c>
    </row>
    <row r="276" spans="1:6" ht="18" customHeight="1">
      <c r="A276" s="4" t="s">
        <v>11</v>
      </c>
      <c r="B276" s="4" t="str">
        <f>"2020012421"</f>
        <v>2020012421</v>
      </c>
      <c r="C276" s="5">
        <v>0</v>
      </c>
      <c r="D276" s="6">
        <v>0</v>
      </c>
      <c r="E276" s="7">
        <f t="shared" si="4"/>
        <v>0</v>
      </c>
      <c r="F276" s="9" t="s">
        <v>8</v>
      </c>
    </row>
    <row r="277" spans="1:6" ht="18" customHeight="1">
      <c r="A277" s="4" t="s">
        <v>11</v>
      </c>
      <c r="B277" s="4" t="str">
        <f>"2020012429"</f>
        <v>2020012429</v>
      </c>
      <c r="C277" s="5">
        <v>0</v>
      </c>
      <c r="D277" s="6">
        <v>0</v>
      </c>
      <c r="E277" s="7">
        <f t="shared" si="4"/>
        <v>0</v>
      </c>
      <c r="F277" s="9" t="s">
        <v>8</v>
      </c>
    </row>
    <row r="278" spans="1:6" ht="18" customHeight="1">
      <c r="A278" s="4" t="s">
        <v>11</v>
      </c>
      <c r="B278" s="4" t="str">
        <f>"2020012606"</f>
        <v>2020012606</v>
      </c>
      <c r="C278" s="5">
        <v>0</v>
      </c>
      <c r="D278" s="6">
        <v>0</v>
      </c>
      <c r="E278" s="7">
        <f t="shared" si="4"/>
        <v>0</v>
      </c>
      <c r="F278" s="9" t="s">
        <v>8</v>
      </c>
    </row>
    <row r="279" spans="1:6" ht="18" customHeight="1">
      <c r="A279" s="4" t="s">
        <v>11</v>
      </c>
      <c r="B279" s="4" t="str">
        <f>"2020012821"</f>
        <v>2020012821</v>
      </c>
      <c r="C279" s="5">
        <v>0</v>
      </c>
      <c r="D279" s="6">
        <v>0</v>
      </c>
      <c r="E279" s="7">
        <f t="shared" si="4"/>
        <v>0</v>
      </c>
      <c r="F279" s="9" t="s">
        <v>8</v>
      </c>
    </row>
    <row r="280" spans="1:6" ht="18" customHeight="1">
      <c r="A280" s="4" t="s">
        <v>11</v>
      </c>
      <c r="B280" s="4" t="str">
        <f>"2020013319"</f>
        <v>2020013319</v>
      </c>
      <c r="C280" s="5">
        <v>0</v>
      </c>
      <c r="D280" s="6">
        <v>0</v>
      </c>
      <c r="E280" s="7">
        <f t="shared" si="4"/>
        <v>0</v>
      </c>
      <c r="F280" s="9" t="s">
        <v>8</v>
      </c>
    </row>
    <row r="281" spans="1:6" ht="18" customHeight="1">
      <c r="A281" s="4" t="s">
        <v>11</v>
      </c>
      <c r="B281" s="4" t="str">
        <f>"2020013505"</f>
        <v>2020013505</v>
      </c>
      <c r="C281" s="5">
        <v>0</v>
      </c>
      <c r="D281" s="6">
        <v>0</v>
      </c>
      <c r="E281" s="7">
        <f t="shared" si="4"/>
        <v>0</v>
      </c>
      <c r="F281" s="9" t="s">
        <v>8</v>
      </c>
    </row>
    <row r="282" spans="1:6" ht="18" customHeight="1">
      <c r="A282" s="4" t="s">
        <v>11</v>
      </c>
      <c r="B282" s="4" t="str">
        <f>"2020013604"</f>
        <v>2020013604</v>
      </c>
      <c r="C282" s="5">
        <v>0</v>
      </c>
      <c r="D282" s="6">
        <v>0</v>
      </c>
      <c r="E282" s="7">
        <f t="shared" si="4"/>
        <v>0</v>
      </c>
      <c r="F282" s="9" t="s">
        <v>8</v>
      </c>
    </row>
    <row r="283" spans="1:6" ht="18" customHeight="1">
      <c r="A283" s="4" t="s">
        <v>11</v>
      </c>
      <c r="B283" s="4" t="str">
        <f>"2020013616"</f>
        <v>2020013616</v>
      </c>
      <c r="C283" s="5">
        <v>0</v>
      </c>
      <c r="D283" s="6">
        <v>0</v>
      </c>
      <c r="E283" s="7">
        <f t="shared" si="4"/>
        <v>0</v>
      </c>
      <c r="F283" s="9" t="s">
        <v>8</v>
      </c>
    </row>
    <row r="284" spans="1:6" ht="18" customHeight="1">
      <c r="A284" s="4" t="s">
        <v>11</v>
      </c>
      <c r="B284" s="4" t="str">
        <f>"2020020726"</f>
        <v>2020020726</v>
      </c>
      <c r="C284" s="5">
        <v>0</v>
      </c>
      <c r="D284" s="6">
        <v>0</v>
      </c>
      <c r="E284" s="7">
        <f t="shared" si="4"/>
        <v>0</v>
      </c>
      <c r="F284" s="8" t="s">
        <v>8</v>
      </c>
    </row>
    <row r="285" spans="1:6" ht="18" customHeight="1">
      <c r="A285" s="4" t="s">
        <v>11</v>
      </c>
      <c r="B285" s="4" t="str">
        <f>"2020020929"</f>
        <v>2020020929</v>
      </c>
      <c r="C285" s="5">
        <v>0</v>
      </c>
      <c r="D285" s="6">
        <v>0</v>
      </c>
      <c r="E285" s="7">
        <f t="shared" si="4"/>
        <v>0</v>
      </c>
      <c r="F285" s="8" t="s">
        <v>8</v>
      </c>
    </row>
    <row r="286" spans="1:6" ht="18" customHeight="1">
      <c r="A286" s="4" t="s">
        <v>11</v>
      </c>
      <c r="B286" s="4" t="str">
        <f>"2020021001"</f>
        <v>2020021001</v>
      </c>
      <c r="C286" s="5">
        <v>0</v>
      </c>
      <c r="D286" s="6">
        <v>0</v>
      </c>
      <c r="E286" s="7">
        <f t="shared" si="4"/>
        <v>0</v>
      </c>
      <c r="F286" s="8" t="s">
        <v>8</v>
      </c>
    </row>
    <row r="287" spans="1:6" ht="18" customHeight="1">
      <c r="A287" s="4" t="s">
        <v>11</v>
      </c>
      <c r="B287" s="4" t="str">
        <f>"2020021030"</f>
        <v>2020021030</v>
      </c>
      <c r="C287" s="5">
        <v>0</v>
      </c>
      <c r="D287" s="6">
        <v>0</v>
      </c>
      <c r="E287" s="7">
        <f t="shared" si="4"/>
        <v>0</v>
      </c>
      <c r="F287" s="8" t="s">
        <v>8</v>
      </c>
    </row>
    <row r="288" spans="1:6" ht="18" customHeight="1">
      <c r="A288" s="4" t="s">
        <v>11</v>
      </c>
      <c r="B288" s="4" t="str">
        <f>"2020021407"</f>
        <v>2020021407</v>
      </c>
      <c r="C288" s="5">
        <v>0</v>
      </c>
      <c r="D288" s="6">
        <v>0</v>
      </c>
      <c r="E288" s="7">
        <f t="shared" si="4"/>
        <v>0</v>
      </c>
      <c r="F288" s="8" t="s">
        <v>8</v>
      </c>
    </row>
    <row r="289" spans="1:6" ht="18" customHeight="1">
      <c r="A289" s="4" t="s">
        <v>11</v>
      </c>
      <c r="B289" s="4" t="str">
        <f>"2020021613"</f>
        <v>2020021613</v>
      </c>
      <c r="C289" s="5">
        <v>0</v>
      </c>
      <c r="D289" s="6">
        <v>0</v>
      </c>
      <c r="E289" s="7">
        <f t="shared" si="4"/>
        <v>0</v>
      </c>
      <c r="F289" s="8" t="s">
        <v>8</v>
      </c>
    </row>
    <row r="290" spans="1:6" ht="18" customHeight="1">
      <c r="A290" s="4" t="s">
        <v>11</v>
      </c>
      <c r="B290" s="4" t="str">
        <f>"2020021820"</f>
        <v>2020021820</v>
      </c>
      <c r="C290" s="5">
        <v>0</v>
      </c>
      <c r="D290" s="6">
        <v>0</v>
      </c>
      <c r="E290" s="7">
        <f t="shared" si="4"/>
        <v>0</v>
      </c>
      <c r="F290" s="8" t="s">
        <v>8</v>
      </c>
    </row>
    <row r="291" spans="1:6" ht="18" customHeight="1">
      <c r="A291" s="4" t="s">
        <v>11</v>
      </c>
      <c r="B291" s="4" t="str">
        <f>"2020022011"</f>
        <v>2020022011</v>
      </c>
      <c r="C291" s="5">
        <v>0</v>
      </c>
      <c r="D291" s="6">
        <v>0</v>
      </c>
      <c r="E291" s="7">
        <f t="shared" si="4"/>
        <v>0</v>
      </c>
      <c r="F291" s="8" t="s">
        <v>8</v>
      </c>
    </row>
    <row r="292" spans="1:6" ht="18" customHeight="1">
      <c r="A292" s="4" t="s">
        <v>11</v>
      </c>
      <c r="B292" s="4" t="str">
        <f>"2020022110"</f>
        <v>2020022110</v>
      </c>
      <c r="C292" s="5">
        <v>0</v>
      </c>
      <c r="D292" s="6">
        <v>0</v>
      </c>
      <c r="E292" s="7">
        <f t="shared" si="4"/>
        <v>0</v>
      </c>
      <c r="F292" s="8" t="s">
        <v>8</v>
      </c>
    </row>
    <row r="293" spans="1:6" ht="18" customHeight="1">
      <c r="A293" s="4" t="s">
        <v>11</v>
      </c>
      <c r="B293" s="4" t="str">
        <f>"2020022218"</f>
        <v>2020022218</v>
      </c>
      <c r="C293" s="5">
        <v>0</v>
      </c>
      <c r="D293" s="6">
        <v>0</v>
      </c>
      <c r="E293" s="7">
        <f t="shared" si="4"/>
        <v>0</v>
      </c>
      <c r="F293" s="8" t="s">
        <v>8</v>
      </c>
    </row>
    <row r="294" spans="1:6" ht="18" customHeight="1">
      <c r="A294" s="4" t="s">
        <v>11</v>
      </c>
      <c r="B294" s="4" t="str">
        <f>"2020022524"</f>
        <v>2020022524</v>
      </c>
      <c r="C294" s="5">
        <v>0</v>
      </c>
      <c r="D294" s="6">
        <v>0</v>
      </c>
      <c r="E294" s="7">
        <f t="shared" si="4"/>
        <v>0</v>
      </c>
      <c r="F294" s="8" t="s">
        <v>8</v>
      </c>
    </row>
    <row r="295" spans="1:6" ht="18" customHeight="1">
      <c r="A295" s="4" t="s">
        <v>11</v>
      </c>
      <c r="B295" s="4" t="str">
        <f>"2020022626"</f>
        <v>2020022626</v>
      </c>
      <c r="C295" s="5">
        <v>0</v>
      </c>
      <c r="D295" s="6">
        <v>0</v>
      </c>
      <c r="E295" s="7">
        <f t="shared" si="4"/>
        <v>0</v>
      </c>
      <c r="F295" s="8" t="s">
        <v>8</v>
      </c>
    </row>
    <row r="296" spans="1:6" ht="18" customHeight="1">
      <c r="A296" s="4" t="s">
        <v>11</v>
      </c>
      <c r="B296" s="4" t="str">
        <f>"2020022910"</f>
        <v>2020022910</v>
      </c>
      <c r="C296" s="5">
        <v>0</v>
      </c>
      <c r="D296" s="6">
        <v>0</v>
      </c>
      <c r="E296" s="7">
        <f t="shared" si="4"/>
        <v>0</v>
      </c>
      <c r="F296" s="8" t="s">
        <v>8</v>
      </c>
    </row>
    <row r="297" spans="1:6" ht="18" customHeight="1">
      <c r="A297" s="4" t="s">
        <v>11</v>
      </c>
      <c r="B297" s="4" t="str">
        <f>"2020023011"</f>
        <v>2020023011</v>
      </c>
      <c r="C297" s="5">
        <v>0</v>
      </c>
      <c r="D297" s="6">
        <v>0</v>
      </c>
      <c r="E297" s="7">
        <f t="shared" si="4"/>
        <v>0</v>
      </c>
      <c r="F297" s="8" t="s">
        <v>8</v>
      </c>
    </row>
    <row r="298" spans="1:6" ht="18" customHeight="1">
      <c r="A298" s="4" t="s">
        <v>11</v>
      </c>
      <c r="B298" s="4" t="str">
        <f>"2020023027"</f>
        <v>2020023027</v>
      </c>
      <c r="C298" s="5">
        <v>0</v>
      </c>
      <c r="D298" s="6">
        <v>0</v>
      </c>
      <c r="E298" s="7">
        <f t="shared" si="4"/>
        <v>0</v>
      </c>
      <c r="F298" s="8" t="s">
        <v>8</v>
      </c>
    </row>
    <row r="299" spans="1:6" ht="18" customHeight="1">
      <c r="A299" s="4" t="s">
        <v>11</v>
      </c>
      <c r="B299" s="4" t="str">
        <f>"2020023108"</f>
        <v>2020023108</v>
      </c>
      <c r="C299" s="5">
        <v>0</v>
      </c>
      <c r="D299" s="6">
        <v>0</v>
      </c>
      <c r="E299" s="7">
        <f t="shared" si="4"/>
        <v>0</v>
      </c>
      <c r="F299" s="8" t="s">
        <v>8</v>
      </c>
    </row>
    <row r="300" spans="1:6" ht="18" customHeight="1">
      <c r="A300" s="4" t="s">
        <v>11</v>
      </c>
      <c r="B300" s="4" t="str">
        <f>"2020023401"</f>
        <v>2020023401</v>
      </c>
      <c r="C300" s="5">
        <v>0</v>
      </c>
      <c r="D300" s="6">
        <v>0</v>
      </c>
      <c r="E300" s="7">
        <f t="shared" si="4"/>
        <v>0</v>
      </c>
      <c r="F300" s="8" t="s">
        <v>8</v>
      </c>
    </row>
    <row r="301" spans="1:6" ht="18" customHeight="1">
      <c r="A301" s="4" t="s">
        <v>11</v>
      </c>
      <c r="B301" s="4" t="str">
        <f>"2020023606"</f>
        <v>2020023606</v>
      </c>
      <c r="C301" s="5">
        <v>0</v>
      </c>
      <c r="D301" s="6">
        <v>0</v>
      </c>
      <c r="E301" s="7">
        <f t="shared" si="4"/>
        <v>0</v>
      </c>
      <c r="F301" s="8" t="s">
        <v>8</v>
      </c>
    </row>
    <row r="302" spans="1:6" ht="18" customHeight="1">
      <c r="A302" s="4" t="s">
        <v>11</v>
      </c>
      <c r="B302" s="4" t="str">
        <f>"2020023916"</f>
        <v>2020023916</v>
      </c>
      <c r="C302" s="5">
        <v>0</v>
      </c>
      <c r="D302" s="6">
        <v>0</v>
      </c>
      <c r="E302" s="7">
        <f t="shared" si="4"/>
        <v>0</v>
      </c>
      <c r="F302" s="8" t="s">
        <v>8</v>
      </c>
    </row>
    <row r="303" spans="1:6" ht="18" customHeight="1">
      <c r="A303" s="4" t="s">
        <v>11</v>
      </c>
      <c r="B303" s="4" t="str">
        <f>"2020024112"</f>
        <v>2020024112</v>
      </c>
      <c r="C303" s="5">
        <v>0</v>
      </c>
      <c r="D303" s="6">
        <v>0</v>
      </c>
      <c r="E303" s="7">
        <f t="shared" si="4"/>
        <v>0</v>
      </c>
      <c r="F303" s="8" t="s">
        <v>8</v>
      </c>
    </row>
    <row r="304" spans="1:6" ht="18" customHeight="1">
      <c r="A304" s="4" t="s">
        <v>11</v>
      </c>
      <c r="B304" s="4" t="str">
        <f>"2020024328"</f>
        <v>2020024328</v>
      </c>
      <c r="C304" s="5">
        <v>0</v>
      </c>
      <c r="D304" s="6">
        <v>0</v>
      </c>
      <c r="E304" s="7">
        <f t="shared" si="4"/>
        <v>0</v>
      </c>
      <c r="F304" s="8" t="s">
        <v>8</v>
      </c>
    </row>
    <row r="305" spans="1:6" ht="18" customHeight="1">
      <c r="A305" s="4" t="s">
        <v>11</v>
      </c>
      <c r="B305" s="4" t="str">
        <f>"2020024427"</f>
        <v>2020024427</v>
      </c>
      <c r="C305" s="5">
        <v>0</v>
      </c>
      <c r="D305" s="6">
        <v>0</v>
      </c>
      <c r="E305" s="7">
        <f t="shared" si="4"/>
        <v>0</v>
      </c>
      <c r="F305" s="8" t="s">
        <v>8</v>
      </c>
    </row>
    <row r="306" spans="1:6" ht="18" customHeight="1">
      <c r="A306" s="4" t="s">
        <v>11</v>
      </c>
      <c r="B306" s="4" t="str">
        <f>"2020024516"</f>
        <v>2020024516</v>
      </c>
      <c r="C306" s="5">
        <v>0</v>
      </c>
      <c r="D306" s="6">
        <v>0</v>
      </c>
      <c r="E306" s="7">
        <f t="shared" si="4"/>
        <v>0</v>
      </c>
      <c r="F306" s="8" t="s">
        <v>8</v>
      </c>
    </row>
    <row r="307" spans="1:6" ht="18" customHeight="1">
      <c r="A307" s="4" t="s">
        <v>11</v>
      </c>
      <c r="B307" s="4" t="str">
        <f>"2020024524"</f>
        <v>2020024524</v>
      </c>
      <c r="C307" s="5">
        <v>0</v>
      </c>
      <c r="D307" s="6">
        <v>0</v>
      </c>
      <c r="E307" s="7">
        <f t="shared" si="4"/>
        <v>0</v>
      </c>
      <c r="F307" s="8" t="s">
        <v>8</v>
      </c>
    </row>
    <row r="308" spans="1:6" ht="18" customHeight="1">
      <c r="A308" s="4" t="s">
        <v>11</v>
      </c>
      <c r="B308" s="4" t="str">
        <f>"2020030315"</f>
        <v>2020030315</v>
      </c>
      <c r="C308" s="5">
        <v>0</v>
      </c>
      <c r="D308" s="6">
        <v>0</v>
      </c>
      <c r="E308" s="7">
        <f t="shared" si="4"/>
        <v>0</v>
      </c>
      <c r="F308" s="9" t="s">
        <v>8</v>
      </c>
    </row>
    <row r="309" spans="1:6" ht="18" customHeight="1">
      <c r="A309" s="4" t="s">
        <v>11</v>
      </c>
      <c r="B309" s="4" t="str">
        <f>"2020031104"</f>
        <v>2020031104</v>
      </c>
      <c r="C309" s="5">
        <v>0</v>
      </c>
      <c r="D309" s="6">
        <v>0</v>
      </c>
      <c r="E309" s="7">
        <f t="shared" si="4"/>
        <v>0</v>
      </c>
      <c r="F309" s="8" t="s">
        <v>8</v>
      </c>
    </row>
    <row r="310" spans="1:6" ht="18" customHeight="1">
      <c r="A310" s="4" t="s">
        <v>11</v>
      </c>
      <c r="B310" s="4" t="str">
        <f>"2020031121"</f>
        <v>2020031121</v>
      </c>
      <c r="C310" s="5">
        <v>0</v>
      </c>
      <c r="D310" s="6">
        <v>0</v>
      </c>
      <c r="E310" s="7">
        <f t="shared" si="4"/>
        <v>0</v>
      </c>
      <c r="F310" s="8" t="s">
        <v>8</v>
      </c>
    </row>
    <row r="311" spans="1:6" ht="18" customHeight="1">
      <c r="A311" s="4" t="s">
        <v>11</v>
      </c>
      <c r="B311" s="4" t="str">
        <f>"2020031618"</f>
        <v>2020031618</v>
      </c>
      <c r="C311" s="5">
        <v>0</v>
      </c>
      <c r="D311" s="6">
        <v>0</v>
      </c>
      <c r="E311" s="7">
        <f t="shared" si="4"/>
        <v>0</v>
      </c>
      <c r="F311" s="8" t="s">
        <v>8</v>
      </c>
    </row>
    <row r="312" spans="1:6" ht="18" customHeight="1">
      <c r="A312" s="4" t="s">
        <v>11</v>
      </c>
      <c r="B312" s="4" t="str">
        <f>"2020031630"</f>
        <v>2020031630</v>
      </c>
      <c r="C312" s="5">
        <v>0</v>
      </c>
      <c r="D312" s="6">
        <v>0</v>
      </c>
      <c r="E312" s="7">
        <f t="shared" si="4"/>
        <v>0</v>
      </c>
      <c r="F312" s="8" t="s">
        <v>8</v>
      </c>
    </row>
    <row r="313" spans="1:6" ht="18" customHeight="1">
      <c r="A313" s="4" t="s">
        <v>11</v>
      </c>
      <c r="B313" s="4" t="str">
        <f>"2020031925"</f>
        <v>2020031925</v>
      </c>
      <c r="C313" s="5">
        <v>0</v>
      </c>
      <c r="D313" s="6">
        <v>0</v>
      </c>
      <c r="E313" s="7">
        <f t="shared" si="4"/>
        <v>0</v>
      </c>
      <c r="F313" s="8" t="s">
        <v>8</v>
      </c>
    </row>
    <row r="314" spans="1:6" ht="18" customHeight="1">
      <c r="A314" s="4" t="s">
        <v>11</v>
      </c>
      <c r="B314" s="4" t="str">
        <f>"2020032015"</f>
        <v>2020032015</v>
      </c>
      <c r="C314" s="5">
        <v>0</v>
      </c>
      <c r="D314" s="6">
        <v>0</v>
      </c>
      <c r="E314" s="7">
        <f t="shared" si="4"/>
        <v>0</v>
      </c>
      <c r="F314" s="8" t="s">
        <v>8</v>
      </c>
    </row>
    <row r="315" spans="1:6" ht="18" customHeight="1">
      <c r="A315" s="4" t="s">
        <v>11</v>
      </c>
      <c r="B315" s="4" t="str">
        <f>"2020032530"</f>
        <v>2020032530</v>
      </c>
      <c r="C315" s="5">
        <v>0</v>
      </c>
      <c r="D315" s="6">
        <v>0</v>
      </c>
      <c r="E315" s="7">
        <f t="shared" si="4"/>
        <v>0</v>
      </c>
      <c r="F315" s="8" t="s">
        <v>8</v>
      </c>
    </row>
    <row r="316" spans="1:6" ht="18" customHeight="1">
      <c r="A316" s="4" t="s">
        <v>11</v>
      </c>
      <c r="B316" s="4" t="str">
        <f>"2020032624"</f>
        <v>2020032624</v>
      </c>
      <c r="C316" s="5">
        <v>0</v>
      </c>
      <c r="D316" s="6">
        <v>0</v>
      </c>
      <c r="E316" s="7">
        <f t="shared" si="4"/>
        <v>0</v>
      </c>
      <c r="F316" s="8" t="s">
        <v>8</v>
      </c>
    </row>
    <row r="317" spans="1:6" ht="18" customHeight="1">
      <c r="A317" s="4" t="s">
        <v>11</v>
      </c>
      <c r="B317" s="4" t="str">
        <f>"2020032707"</f>
        <v>2020032707</v>
      </c>
      <c r="C317" s="5">
        <v>0</v>
      </c>
      <c r="D317" s="6">
        <v>0</v>
      </c>
      <c r="E317" s="7">
        <f t="shared" si="4"/>
        <v>0</v>
      </c>
      <c r="F317" s="8" t="s">
        <v>8</v>
      </c>
    </row>
    <row r="318" spans="1:6" ht="18" customHeight="1">
      <c r="A318" s="4" t="s">
        <v>11</v>
      </c>
      <c r="B318" s="4" t="str">
        <f>"2020032725"</f>
        <v>2020032725</v>
      </c>
      <c r="C318" s="5">
        <v>0</v>
      </c>
      <c r="D318" s="6">
        <v>0</v>
      </c>
      <c r="E318" s="7">
        <f t="shared" si="4"/>
        <v>0</v>
      </c>
      <c r="F318" s="8" t="s">
        <v>8</v>
      </c>
    </row>
    <row r="319" spans="1:6" ht="18" customHeight="1">
      <c r="A319" s="4" t="s">
        <v>11</v>
      </c>
      <c r="B319" s="4" t="str">
        <f>"2020032823"</f>
        <v>2020032823</v>
      </c>
      <c r="C319" s="5">
        <v>0</v>
      </c>
      <c r="D319" s="6">
        <v>0</v>
      </c>
      <c r="E319" s="7">
        <f t="shared" si="4"/>
        <v>0</v>
      </c>
      <c r="F319" s="8" t="s">
        <v>8</v>
      </c>
    </row>
    <row r="320" spans="1:6" ht="18" customHeight="1">
      <c r="A320" s="4" t="s">
        <v>11</v>
      </c>
      <c r="B320" s="4" t="str">
        <f>"2020032830"</f>
        <v>2020032830</v>
      </c>
      <c r="C320" s="5">
        <v>0</v>
      </c>
      <c r="D320" s="6">
        <v>0</v>
      </c>
      <c r="E320" s="7">
        <f t="shared" si="4"/>
        <v>0</v>
      </c>
      <c r="F320" s="8" t="s">
        <v>8</v>
      </c>
    </row>
    <row r="321" spans="1:6" ht="18" customHeight="1">
      <c r="A321" s="4" t="s">
        <v>11</v>
      </c>
      <c r="B321" s="4" t="str">
        <f>"2020033504"</f>
        <v>2020033504</v>
      </c>
      <c r="C321" s="5">
        <v>0</v>
      </c>
      <c r="D321" s="6">
        <v>0</v>
      </c>
      <c r="E321" s="7">
        <f t="shared" si="4"/>
        <v>0</v>
      </c>
      <c r="F321" s="8" t="s">
        <v>8</v>
      </c>
    </row>
    <row r="322" spans="1:6" ht="18" customHeight="1">
      <c r="A322" s="4" t="s">
        <v>11</v>
      </c>
      <c r="B322" s="4" t="str">
        <f>"2020040210"</f>
        <v>2020040210</v>
      </c>
      <c r="C322" s="5">
        <v>0</v>
      </c>
      <c r="D322" s="6">
        <v>0</v>
      </c>
      <c r="E322" s="7">
        <f t="shared" si="4"/>
        <v>0</v>
      </c>
      <c r="F322" s="8" t="s">
        <v>8</v>
      </c>
    </row>
    <row r="323" spans="1:6" ht="18" customHeight="1">
      <c r="A323" s="4" t="s">
        <v>11</v>
      </c>
      <c r="B323" s="4" t="str">
        <f>"2020040512"</f>
        <v>2020040512</v>
      </c>
      <c r="C323" s="5">
        <v>0</v>
      </c>
      <c r="D323" s="6">
        <v>0</v>
      </c>
      <c r="E323" s="7">
        <f t="shared" ref="E323:E386" si="5">SUM(C323:D323)</f>
        <v>0</v>
      </c>
      <c r="F323" s="8" t="s">
        <v>8</v>
      </c>
    </row>
    <row r="324" spans="1:6" ht="18" customHeight="1">
      <c r="A324" s="4" t="s">
        <v>11</v>
      </c>
      <c r="B324" s="4" t="str">
        <f>"2020040817"</f>
        <v>2020040817</v>
      </c>
      <c r="C324" s="5">
        <v>0</v>
      </c>
      <c r="D324" s="6">
        <v>0</v>
      </c>
      <c r="E324" s="7">
        <f t="shared" si="5"/>
        <v>0</v>
      </c>
      <c r="F324" s="8" t="s">
        <v>8</v>
      </c>
    </row>
    <row r="325" spans="1:6" ht="18" customHeight="1">
      <c r="A325" s="4" t="s">
        <v>11</v>
      </c>
      <c r="B325" s="4" t="str">
        <f>"2020041228"</f>
        <v>2020041228</v>
      </c>
      <c r="C325" s="5">
        <v>0</v>
      </c>
      <c r="D325" s="6">
        <v>0</v>
      </c>
      <c r="E325" s="7">
        <f t="shared" si="5"/>
        <v>0</v>
      </c>
      <c r="F325" s="8" t="s">
        <v>8</v>
      </c>
    </row>
    <row r="326" spans="1:6" ht="18" customHeight="1">
      <c r="A326" s="4" t="s">
        <v>11</v>
      </c>
      <c r="B326" s="4" t="str">
        <f>"2020041522"</f>
        <v>2020041522</v>
      </c>
      <c r="C326" s="5">
        <v>0</v>
      </c>
      <c r="D326" s="6">
        <v>0</v>
      </c>
      <c r="E326" s="7">
        <f t="shared" si="5"/>
        <v>0</v>
      </c>
      <c r="F326" s="8" t="s">
        <v>8</v>
      </c>
    </row>
    <row r="327" spans="1:6" ht="18" customHeight="1">
      <c r="A327" s="4" t="s">
        <v>11</v>
      </c>
      <c r="B327" s="4" t="str">
        <f>"2020041607"</f>
        <v>2020041607</v>
      </c>
      <c r="C327" s="5">
        <v>0</v>
      </c>
      <c r="D327" s="6">
        <v>0</v>
      </c>
      <c r="E327" s="7">
        <f t="shared" si="5"/>
        <v>0</v>
      </c>
      <c r="F327" s="8" t="s">
        <v>8</v>
      </c>
    </row>
    <row r="328" spans="1:6" ht="18" customHeight="1">
      <c r="A328" s="4" t="s">
        <v>11</v>
      </c>
      <c r="B328" s="4" t="str">
        <f>"2020042224"</f>
        <v>2020042224</v>
      </c>
      <c r="C328" s="5">
        <v>0</v>
      </c>
      <c r="D328" s="6">
        <v>0</v>
      </c>
      <c r="E328" s="7">
        <f t="shared" si="5"/>
        <v>0</v>
      </c>
      <c r="F328" s="8" t="s">
        <v>8</v>
      </c>
    </row>
    <row r="329" spans="1:6" ht="18" customHeight="1">
      <c r="A329" s="4" t="s">
        <v>11</v>
      </c>
      <c r="B329" s="4" t="str">
        <f>"2020042408"</f>
        <v>2020042408</v>
      </c>
      <c r="C329" s="5">
        <v>0</v>
      </c>
      <c r="D329" s="6">
        <v>0</v>
      </c>
      <c r="E329" s="7">
        <f t="shared" si="5"/>
        <v>0</v>
      </c>
      <c r="F329" s="8" t="s">
        <v>8</v>
      </c>
    </row>
    <row r="330" spans="1:6" ht="18" customHeight="1">
      <c r="A330" s="4" t="s">
        <v>11</v>
      </c>
      <c r="B330" s="4" t="str">
        <f>"2020042608"</f>
        <v>2020042608</v>
      </c>
      <c r="C330" s="5">
        <v>0</v>
      </c>
      <c r="D330" s="6">
        <v>0</v>
      </c>
      <c r="E330" s="7">
        <f t="shared" si="5"/>
        <v>0</v>
      </c>
      <c r="F330" s="8" t="s">
        <v>8</v>
      </c>
    </row>
    <row r="331" spans="1:6" ht="18" customHeight="1">
      <c r="A331" s="4" t="s">
        <v>11</v>
      </c>
      <c r="B331" s="4" t="str">
        <f>"2020043924"</f>
        <v>2020043924</v>
      </c>
      <c r="C331" s="5">
        <v>0</v>
      </c>
      <c r="D331" s="6">
        <v>0</v>
      </c>
      <c r="E331" s="7">
        <f t="shared" si="5"/>
        <v>0</v>
      </c>
      <c r="F331" s="8" t="s">
        <v>8</v>
      </c>
    </row>
    <row r="332" spans="1:6" ht="18" customHeight="1">
      <c r="A332" s="4" t="s">
        <v>11</v>
      </c>
      <c r="B332" s="4" t="str">
        <f>"2020043928"</f>
        <v>2020043928</v>
      </c>
      <c r="C332" s="5">
        <v>0</v>
      </c>
      <c r="D332" s="6">
        <v>0</v>
      </c>
      <c r="E332" s="7">
        <f t="shared" si="5"/>
        <v>0</v>
      </c>
      <c r="F332" s="8" t="s">
        <v>8</v>
      </c>
    </row>
    <row r="333" spans="1:6" ht="18" customHeight="1">
      <c r="A333" s="4" t="s">
        <v>11</v>
      </c>
      <c r="B333" s="4" t="str">
        <f>"2020044708"</f>
        <v>2020044708</v>
      </c>
      <c r="C333" s="5">
        <v>0</v>
      </c>
      <c r="D333" s="6">
        <v>0</v>
      </c>
      <c r="E333" s="7">
        <f t="shared" si="5"/>
        <v>0</v>
      </c>
      <c r="F333" s="8" t="s">
        <v>8</v>
      </c>
    </row>
    <row r="334" spans="1:6" ht="18" customHeight="1">
      <c r="A334" s="4" t="s">
        <v>11</v>
      </c>
      <c r="B334" s="4" t="str">
        <f>"2020044806"</f>
        <v>2020044806</v>
      </c>
      <c r="C334" s="5">
        <v>0</v>
      </c>
      <c r="D334" s="6">
        <v>0</v>
      </c>
      <c r="E334" s="7">
        <f t="shared" si="5"/>
        <v>0</v>
      </c>
      <c r="F334" s="8" t="s">
        <v>8</v>
      </c>
    </row>
    <row r="335" spans="1:6" ht="18" customHeight="1">
      <c r="A335" s="4" t="s">
        <v>11</v>
      </c>
      <c r="B335" s="4" t="str">
        <f>"2020044821"</f>
        <v>2020044821</v>
      </c>
      <c r="C335" s="5">
        <v>0</v>
      </c>
      <c r="D335" s="6">
        <v>0</v>
      </c>
      <c r="E335" s="7">
        <f t="shared" si="5"/>
        <v>0</v>
      </c>
      <c r="F335" s="8" t="s">
        <v>8</v>
      </c>
    </row>
    <row r="336" spans="1:6" ht="18" customHeight="1">
      <c r="A336" s="4" t="s">
        <v>11</v>
      </c>
      <c r="B336" s="4" t="str">
        <f>"2020045020"</f>
        <v>2020045020</v>
      </c>
      <c r="C336" s="5">
        <v>0</v>
      </c>
      <c r="D336" s="6">
        <v>0</v>
      </c>
      <c r="E336" s="7">
        <f t="shared" si="5"/>
        <v>0</v>
      </c>
      <c r="F336" s="8" t="s">
        <v>8</v>
      </c>
    </row>
    <row r="337" spans="1:6" ht="18" customHeight="1">
      <c r="A337" s="4" t="s">
        <v>11</v>
      </c>
      <c r="B337" s="4" t="str">
        <f>"2020045209"</f>
        <v>2020045209</v>
      </c>
      <c r="C337" s="5">
        <v>0</v>
      </c>
      <c r="D337" s="6">
        <v>0</v>
      </c>
      <c r="E337" s="7">
        <f t="shared" si="5"/>
        <v>0</v>
      </c>
      <c r="F337" s="8" t="s">
        <v>8</v>
      </c>
    </row>
    <row r="338" spans="1:6" ht="18" customHeight="1">
      <c r="A338" s="4" t="s">
        <v>11</v>
      </c>
      <c r="B338" s="4" t="str">
        <f>"2020045217"</f>
        <v>2020045217</v>
      </c>
      <c r="C338" s="5">
        <v>0</v>
      </c>
      <c r="D338" s="6">
        <v>0</v>
      </c>
      <c r="E338" s="7">
        <f t="shared" si="5"/>
        <v>0</v>
      </c>
      <c r="F338" s="8" t="s">
        <v>8</v>
      </c>
    </row>
    <row r="339" spans="1:6" ht="18" customHeight="1">
      <c r="A339" s="4" t="s">
        <v>11</v>
      </c>
      <c r="B339" s="4" t="str">
        <f>"2020045225"</f>
        <v>2020045225</v>
      </c>
      <c r="C339" s="5">
        <v>0</v>
      </c>
      <c r="D339" s="6">
        <v>0</v>
      </c>
      <c r="E339" s="7">
        <f t="shared" si="5"/>
        <v>0</v>
      </c>
      <c r="F339" s="8" t="s">
        <v>8</v>
      </c>
    </row>
    <row r="340" spans="1:6" ht="18" customHeight="1">
      <c r="A340" s="4" t="s">
        <v>11</v>
      </c>
      <c r="B340" s="4" t="str">
        <f>"2020045401"</f>
        <v>2020045401</v>
      </c>
      <c r="C340" s="5">
        <v>0</v>
      </c>
      <c r="D340" s="6">
        <v>0</v>
      </c>
      <c r="E340" s="7">
        <f t="shared" si="5"/>
        <v>0</v>
      </c>
      <c r="F340" s="8" t="s">
        <v>8</v>
      </c>
    </row>
    <row r="341" spans="1:6" ht="18" customHeight="1">
      <c r="A341" s="4" t="s">
        <v>11</v>
      </c>
      <c r="B341" s="4" t="str">
        <f>"2020045625"</f>
        <v>2020045625</v>
      </c>
      <c r="C341" s="5">
        <v>0</v>
      </c>
      <c r="D341" s="6">
        <v>0</v>
      </c>
      <c r="E341" s="7">
        <f t="shared" si="5"/>
        <v>0</v>
      </c>
      <c r="F341" s="8" t="s">
        <v>8</v>
      </c>
    </row>
    <row r="342" spans="1:6" ht="18" customHeight="1">
      <c r="A342" s="4" t="s">
        <v>11</v>
      </c>
      <c r="B342" s="4" t="str">
        <f>"2020045919"</f>
        <v>2020045919</v>
      </c>
      <c r="C342" s="5">
        <v>0</v>
      </c>
      <c r="D342" s="6">
        <v>0</v>
      </c>
      <c r="E342" s="7">
        <f t="shared" si="5"/>
        <v>0</v>
      </c>
      <c r="F342" s="8" t="s">
        <v>8</v>
      </c>
    </row>
    <row r="343" spans="1:6" ht="18" customHeight="1">
      <c r="A343" s="4" t="s">
        <v>11</v>
      </c>
      <c r="B343" s="4" t="str">
        <f>"2020046017"</f>
        <v>2020046017</v>
      </c>
      <c r="C343" s="5">
        <v>0</v>
      </c>
      <c r="D343" s="6">
        <v>0</v>
      </c>
      <c r="E343" s="7">
        <f t="shared" si="5"/>
        <v>0</v>
      </c>
      <c r="F343" s="8" t="s">
        <v>8</v>
      </c>
    </row>
    <row r="344" spans="1:6" ht="18" customHeight="1">
      <c r="A344" s="4" t="s">
        <v>11</v>
      </c>
      <c r="B344" s="4" t="str">
        <f>"2020046601"</f>
        <v>2020046601</v>
      </c>
      <c r="C344" s="5">
        <v>0</v>
      </c>
      <c r="D344" s="6">
        <v>0</v>
      </c>
      <c r="E344" s="7">
        <f t="shared" si="5"/>
        <v>0</v>
      </c>
      <c r="F344" s="8" t="s">
        <v>8</v>
      </c>
    </row>
    <row r="345" spans="1:6" ht="18" customHeight="1">
      <c r="A345" s="4" t="s">
        <v>11</v>
      </c>
      <c r="B345" s="4" t="str">
        <f>"2020046802"</f>
        <v>2020046802</v>
      </c>
      <c r="C345" s="5">
        <v>0</v>
      </c>
      <c r="D345" s="6">
        <v>0</v>
      </c>
      <c r="E345" s="7">
        <f t="shared" si="5"/>
        <v>0</v>
      </c>
      <c r="F345" s="8" t="s">
        <v>8</v>
      </c>
    </row>
    <row r="346" spans="1:6" ht="18" customHeight="1">
      <c r="A346" s="4" t="s">
        <v>11</v>
      </c>
      <c r="B346" s="4" t="str">
        <f>"2020046929"</f>
        <v>2020046929</v>
      </c>
      <c r="C346" s="5">
        <v>0</v>
      </c>
      <c r="D346" s="6">
        <v>0</v>
      </c>
      <c r="E346" s="7">
        <f t="shared" si="5"/>
        <v>0</v>
      </c>
      <c r="F346" s="8" t="s">
        <v>8</v>
      </c>
    </row>
    <row r="347" spans="1:6" ht="18" customHeight="1">
      <c r="A347" s="4" t="s">
        <v>11</v>
      </c>
      <c r="B347" s="4" t="str">
        <f>"2020047420"</f>
        <v>2020047420</v>
      </c>
      <c r="C347" s="5">
        <v>0</v>
      </c>
      <c r="D347" s="6">
        <v>0</v>
      </c>
      <c r="E347" s="7">
        <f t="shared" si="5"/>
        <v>0</v>
      </c>
      <c r="F347" s="8" t="s">
        <v>8</v>
      </c>
    </row>
    <row r="348" spans="1:6" ht="18" customHeight="1">
      <c r="A348" s="4" t="s">
        <v>11</v>
      </c>
      <c r="B348" s="4" t="str">
        <f>"2020047506"</f>
        <v>2020047506</v>
      </c>
      <c r="C348" s="5">
        <v>0</v>
      </c>
      <c r="D348" s="6">
        <v>0</v>
      </c>
      <c r="E348" s="7">
        <f t="shared" si="5"/>
        <v>0</v>
      </c>
      <c r="F348" s="8" t="s">
        <v>8</v>
      </c>
    </row>
    <row r="349" spans="1:6" ht="18" customHeight="1">
      <c r="A349" s="4" t="s">
        <v>11</v>
      </c>
      <c r="B349" s="4" t="str">
        <f>"2020047608"</f>
        <v>2020047608</v>
      </c>
      <c r="C349" s="5">
        <v>0</v>
      </c>
      <c r="D349" s="6">
        <v>0</v>
      </c>
      <c r="E349" s="7">
        <f t="shared" si="5"/>
        <v>0</v>
      </c>
      <c r="F349" s="8" t="s">
        <v>8</v>
      </c>
    </row>
    <row r="350" spans="1:6" ht="18" customHeight="1">
      <c r="A350" s="4" t="s">
        <v>12</v>
      </c>
      <c r="B350" s="4" t="str">
        <f>"2020047207"</f>
        <v>2020047207</v>
      </c>
      <c r="C350" s="5">
        <v>69.8</v>
      </c>
      <c r="D350" s="6">
        <v>86</v>
      </c>
      <c r="E350" s="7">
        <f t="shared" si="5"/>
        <v>155.80000000000001</v>
      </c>
      <c r="F350" s="8"/>
    </row>
    <row r="351" spans="1:6" ht="18" customHeight="1">
      <c r="A351" s="4" t="s">
        <v>12</v>
      </c>
      <c r="B351" s="4" t="str">
        <f>"2020030924"</f>
        <v>2020030924</v>
      </c>
      <c r="C351" s="5">
        <v>75.599999999999994</v>
      </c>
      <c r="D351" s="6">
        <v>79.5</v>
      </c>
      <c r="E351" s="7">
        <f t="shared" si="5"/>
        <v>155.1</v>
      </c>
      <c r="F351" s="8"/>
    </row>
    <row r="352" spans="1:6" ht="18" customHeight="1">
      <c r="A352" s="4" t="s">
        <v>12</v>
      </c>
      <c r="B352" s="4" t="str">
        <f>"2020020124"</f>
        <v>2020020124</v>
      </c>
      <c r="C352" s="5">
        <v>78.900000000000006</v>
      </c>
      <c r="D352" s="6">
        <v>75.5</v>
      </c>
      <c r="E352" s="7">
        <f t="shared" si="5"/>
        <v>154.4</v>
      </c>
      <c r="F352" s="8"/>
    </row>
    <row r="353" spans="1:6" ht="18" customHeight="1">
      <c r="A353" s="4" t="s">
        <v>12</v>
      </c>
      <c r="B353" s="4" t="str">
        <f>"2020021412"</f>
        <v>2020021412</v>
      </c>
      <c r="C353" s="5">
        <v>67.900000000000006</v>
      </c>
      <c r="D353" s="6">
        <v>84.5</v>
      </c>
      <c r="E353" s="7">
        <f t="shared" si="5"/>
        <v>152.4</v>
      </c>
      <c r="F353" s="8"/>
    </row>
    <row r="354" spans="1:6" ht="18" customHeight="1">
      <c r="A354" s="4" t="s">
        <v>12</v>
      </c>
      <c r="B354" s="4" t="str">
        <f>"2020032701"</f>
        <v>2020032701</v>
      </c>
      <c r="C354" s="5">
        <v>72.099999999999994</v>
      </c>
      <c r="D354" s="6">
        <v>80</v>
      </c>
      <c r="E354" s="7">
        <f t="shared" si="5"/>
        <v>152.1</v>
      </c>
      <c r="F354" s="8"/>
    </row>
    <row r="355" spans="1:6" ht="18" customHeight="1">
      <c r="A355" s="4" t="s">
        <v>12</v>
      </c>
      <c r="B355" s="4" t="str">
        <f>"2020013206"</f>
        <v>2020013206</v>
      </c>
      <c r="C355" s="5">
        <v>71.400000000000006</v>
      </c>
      <c r="D355" s="6">
        <v>80.5</v>
      </c>
      <c r="E355" s="7">
        <f t="shared" si="5"/>
        <v>151.9</v>
      </c>
      <c r="F355" s="8"/>
    </row>
    <row r="356" spans="1:6" ht="18" customHeight="1">
      <c r="A356" s="4" t="s">
        <v>12</v>
      </c>
      <c r="B356" s="4" t="str">
        <f>"2020045507"</f>
        <v>2020045507</v>
      </c>
      <c r="C356" s="5">
        <v>79.3</v>
      </c>
      <c r="D356" s="6">
        <v>72</v>
      </c>
      <c r="E356" s="7">
        <f t="shared" si="5"/>
        <v>151.30000000000001</v>
      </c>
      <c r="F356" s="8"/>
    </row>
    <row r="357" spans="1:6" ht="18" customHeight="1">
      <c r="A357" s="4" t="s">
        <v>12</v>
      </c>
      <c r="B357" s="4" t="str">
        <f>"2020013724"</f>
        <v>2020013724</v>
      </c>
      <c r="C357" s="5">
        <v>71.2</v>
      </c>
      <c r="D357" s="6">
        <v>79.5</v>
      </c>
      <c r="E357" s="7">
        <f t="shared" si="5"/>
        <v>150.69999999999999</v>
      </c>
      <c r="F357" s="8"/>
    </row>
    <row r="358" spans="1:6" ht="18" customHeight="1">
      <c r="A358" s="4" t="s">
        <v>12</v>
      </c>
      <c r="B358" s="4" t="str">
        <f>"2020041921"</f>
        <v>2020041921</v>
      </c>
      <c r="C358" s="5">
        <v>70.099999999999994</v>
      </c>
      <c r="D358" s="6">
        <v>80</v>
      </c>
      <c r="E358" s="7">
        <f t="shared" si="5"/>
        <v>150.1</v>
      </c>
      <c r="F358" s="8"/>
    </row>
    <row r="359" spans="1:6" ht="18" customHeight="1">
      <c r="A359" s="4" t="s">
        <v>12</v>
      </c>
      <c r="B359" s="4" t="str">
        <f>"2020012612"</f>
        <v>2020012612</v>
      </c>
      <c r="C359" s="5">
        <v>67.3</v>
      </c>
      <c r="D359" s="6">
        <v>81.5</v>
      </c>
      <c r="E359" s="7">
        <f t="shared" si="5"/>
        <v>148.80000000000001</v>
      </c>
      <c r="F359" s="8"/>
    </row>
    <row r="360" spans="1:6" ht="18" customHeight="1">
      <c r="A360" s="4" t="s">
        <v>12</v>
      </c>
      <c r="B360" s="4" t="str">
        <f>"2020024812"</f>
        <v>2020024812</v>
      </c>
      <c r="C360" s="5">
        <v>70.900000000000006</v>
      </c>
      <c r="D360" s="6">
        <v>77.5</v>
      </c>
      <c r="E360" s="7">
        <f t="shared" si="5"/>
        <v>148.4</v>
      </c>
      <c r="F360" s="8"/>
    </row>
    <row r="361" spans="1:6" ht="18" customHeight="1">
      <c r="A361" s="4" t="s">
        <v>12</v>
      </c>
      <c r="B361" s="4" t="str">
        <f>"2020044016"</f>
        <v>2020044016</v>
      </c>
      <c r="C361" s="5">
        <v>73.3</v>
      </c>
      <c r="D361" s="6">
        <v>74</v>
      </c>
      <c r="E361" s="7">
        <f t="shared" si="5"/>
        <v>147.30000000000001</v>
      </c>
      <c r="F361" s="8"/>
    </row>
    <row r="362" spans="1:6" ht="18" customHeight="1">
      <c r="A362" s="4" t="s">
        <v>12</v>
      </c>
      <c r="B362" s="4" t="str">
        <f>"2020020630"</f>
        <v>2020020630</v>
      </c>
      <c r="C362" s="5">
        <v>67.7</v>
      </c>
      <c r="D362" s="6">
        <v>78.5</v>
      </c>
      <c r="E362" s="7">
        <f t="shared" si="5"/>
        <v>146.19999999999999</v>
      </c>
      <c r="F362" s="8"/>
    </row>
    <row r="363" spans="1:6" ht="18" customHeight="1">
      <c r="A363" s="4" t="s">
        <v>12</v>
      </c>
      <c r="B363" s="4" t="str">
        <f>"2020010406"</f>
        <v>2020010406</v>
      </c>
      <c r="C363" s="5">
        <v>73.900000000000006</v>
      </c>
      <c r="D363" s="6">
        <v>71</v>
      </c>
      <c r="E363" s="7">
        <f t="shared" si="5"/>
        <v>144.9</v>
      </c>
      <c r="F363" s="8"/>
    </row>
    <row r="364" spans="1:6" ht="18" customHeight="1">
      <c r="A364" s="4" t="s">
        <v>12</v>
      </c>
      <c r="B364" s="4" t="str">
        <f>"2020042526"</f>
        <v>2020042526</v>
      </c>
      <c r="C364" s="5">
        <v>69.3</v>
      </c>
      <c r="D364" s="6">
        <v>75.5</v>
      </c>
      <c r="E364" s="7">
        <f t="shared" si="5"/>
        <v>144.80000000000001</v>
      </c>
      <c r="F364" s="8"/>
    </row>
    <row r="365" spans="1:6" ht="18" customHeight="1">
      <c r="A365" s="4" t="s">
        <v>12</v>
      </c>
      <c r="B365" s="4" t="str">
        <f>"2020031525"</f>
        <v>2020031525</v>
      </c>
      <c r="C365" s="5">
        <v>67</v>
      </c>
      <c r="D365" s="6">
        <v>76</v>
      </c>
      <c r="E365" s="7">
        <f t="shared" si="5"/>
        <v>143</v>
      </c>
      <c r="F365" s="8"/>
    </row>
    <row r="366" spans="1:6" ht="18" customHeight="1">
      <c r="A366" s="4" t="s">
        <v>12</v>
      </c>
      <c r="B366" s="4" t="str">
        <f>"2020046010"</f>
        <v>2020046010</v>
      </c>
      <c r="C366" s="5">
        <v>66.3</v>
      </c>
      <c r="D366" s="6">
        <v>76.5</v>
      </c>
      <c r="E366" s="7">
        <f t="shared" si="5"/>
        <v>142.80000000000001</v>
      </c>
      <c r="F366" s="8"/>
    </row>
    <row r="367" spans="1:6" ht="18" customHeight="1">
      <c r="A367" s="4" t="s">
        <v>12</v>
      </c>
      <c r="B367" s="4" t="str">
        <f>"2020042117"</f>
        <v>2020042117</v>
      </c>
      <c r="C367" s="5">
        <v>62.9</v>
      </c>
      <c r="D367" s="6">
        <v>79.5</v>
      </c>
      <c r="E367" s="7">
        <f t="shared" si="5"/>
        <v>142.4</v>
      </c>
      <c r="F367" s="8"/>
    </row>
    <row r="368" spans="1:6" ht="18" customHeight="1">
      <c r="A368" s="4" t="s">
        <v>12</v>
      </c>
      <c r="B368" s="4" t="str">
        <f>"2020046130"</f>
        <v>2020046130</v>
      </c>
      <c r="C368" s="5">
        <v>71.2</v>
      </c>
      <c r="D368" s="6">
        <v>71</v>
      </c>
      <c r="E368" s="7">
        <f t="shared" si="5"/>
        <v>142.19999999999999</v>
      </c>
      <c r="F368" s="8"/>
    </row>
    <row r="369" spans="1:6" ht="18" customHeight="1">
      <c r="A369" s="4" t="s">
        <v>12</v>
      </c>
      <c r="B369" s="4" t="str">
        <f>"2020043209"</f>
        <v>2020043209</v>
      </c>
      <c r="C369" s="5">
        <v>66.5</v>
      </c>
      <c r="D369" s="6">
        <v>75.5</v>
      </c>
      <c r="E369" s="7">
        <f t="shared" si="5"/>
        <v>142</v>
      </c>
      <c r="F369" s="8"/>
    </row>
    <row r="370" spans="1:6" ht="18" customHeight="1">
      <c r="A370" s="4" t="s">
        <v>12</v>
      </c>
      <c r="B370" s="4" t="str">
        <f>"2020031729"</f>
        <v>2020031729</v>
      </c>
      <c r="C370" s="5">
        <v>64.5</v>
      </c>
      <c r="D370" s="6">
        <v>77</v>
      </c>
      <c r="E370" s="7">
        <f t="shared" si="5"/>
        <v>141.5</v>
      </c>
      <c r="F370" s="8"/>
    </row>
    <row r="371" spans="1:6" ht="18" customHeight="1">
      <c r="A371" s="4" t="s">
        <v>12</v>
      </c>
      <c r="B371" s="4" t="str">
        <f>"2020045528"</f>
        <v>2020045528</v>
      </c>
      <c r="C371" s="5">
        <v>67.900000000000006</v>
      </c>
      <c r="D371" s="6">
        <v>73.5</v>
      </c>
      <c r="E371" s="7">
        <f t="shared" si="5"/>
        <v>141.4</v>
      </c>
      <c r="F371" s="8"/>
    </row>
    <row r="372" spans="1:6" ht="18" customHeight="1">
      <c r="A372" s="4" t="s">
        <v>12</v>
      </c>
      <c r="B372" s="4" t="str">
        <f>"2020023809"</f>
        <v>2020023809</v>
      </c>
      <c r="C372" s="5">
        <v>69.2</v>
      </c>
      <c r="D372" s="6">
        <v>71.5</v>
      </c>
      <c r="E372" s="7">
        <f t="shared" si="5"/>
        <v>140.69999999999999</v>
      </c>
      <c r="F372" s="8"/>
    </row>
    <row r="373" spans="1:6" ht="18" customHeight="1">
      <c r="A373" s="4" t="s">
        <v>12</v>
      </c>
      <c r="B373" s="4" t="str">
        <f>"2020032101"</f>
        <v>2020032101</v>
      </c>
      <c r="C373" s="5">
        <v>64.5</v>
      </c>
      <c r="D373" s="6">
        <v>76</v>
      </c>
      <c r="E373" s="7">
        <f t="shared" si="5"/>
        <v>140.5</v>
      </c>
      <c r="F373" s="8"/>
    </row>
    <row r="374" spans="1:6" ht="18" customHeight="1">
      <c r="A374" s="4" t="s">
        <v>12</v>
      </c>
      <c r="B374" s="4" t="str">
        <f>"2020013512"</f>
        <v>2020013512</v>
      </c>
      <c r="C374" s="5">
        <v>69.2</v>
      </c>
      <c r="D374" s="6">
        <v>70.5</v>
      </c>
      <c r="E374" s="7">
        <f t="shared" si="5"/>
        <v>139.69999999999999</v>
      </c>
      <c r="F374" s="8"/>
    </row>
    <row r="375" spans="1:6" ht="18" customHeight="1">
      <c r="A375" s="4" t="s">
        <v>12</v>
      </c>
      <c r="B375" s="4" t="str">
        <f>"2020031011"</f>
        <v>2020031011</v>
      </c>
      <c r="C375" s="5">
        <v>67.5</v>
      </c>
      <c r="D375" s="6">
        <v>72</v>
      </c>
      <c r="E375" s="7">
        <f t="shared" si="5"/>
        <v>139.5</v>
      </c>
      <c r="F375" s="8"/>
    </row>
    <row r="376" spans="1:6" ht="18" customHeight="1">
      <c r="A376" s="4" t="s">
        <v>12</v>
      </c>
      <c r="B376" s="4" t="str">
        <f>"2020030428"</f>
        <v>2020030428</v>
      </c>
      <c r="C376" s="5">
        <v>65.900000000000006</v>
      </c>
      <c r="D376" s="6">
        <v>73.5</v>
      </c>
      <c r="E376" s="7">
        <f t="shared" si="5"/>
        <v>139.4</v>
      </c>
      <c r="F376" s="8"/>
    </row>
    <row r="377" spans="1:6" ht="18" customHeight="1">
      <c r="A377" s="4" t="s">
        <v>12</v>
      </c>
      <c r="B377" s="4" t="str">
        <f>"2020023912"</f>
        <v>2020023912</v>
      </c>
      <c r="C377" s="5">
        <v>66.3</v>
      </c>
      <c r="D377" s="6">
        <v>73</v>
      </c>
      <c r="E377" s="7">
        <f t="shared" si="5"/>
        <v>139.30000000000001</v>
      </c>
      <c r="F377" s="8"/>
    </row>
    <row r="378" spans="1:6" ht="18" customHeight="1">
      <c r="A378" s="4" t="s">
        <v>12</v>
      </c>
      <c r="B378" s="4" t="str">
        <f>"2020045812"</f>
        <v>2020045812</v>
      </c>
      <c r="C378" s="5">
        <v>66.099999999999994</v>
      </c>
      <c r="D378" s="6">
        <v>72</v>
      </c>
      <c r="E378" s="7">
        <f t="shared" si="5"/>
        <v>138.1</v>
      </c>
      <c r="F378" s="8"/>
    </row>
    <row r="379" spans="1:6" ht="18" customHeight="1">
      <c r="A379" s="4" t="s">
        <v>12</v>
      </c>
      <c r="B379" s="4" t="str">
        <f>"2020032025"</f>
        <v>2020032025</v>
      </c>
      <c r="C379" s="5">
        <v>71.599999999999994</v>
      </c>
      <c r="D379" s="6">
        <v>65.5</v>
      </c>
      <c r="E379" s="7">
        <f t="shared" si="5"/>
        <v>137.1</v>
      </c>
      <c r="F379" s="8"/>
    </row>
    <row r="380" spans="1:6" ht="18" customHeight="1">
      <c r="A380" s="4" t="s">
        <v>12</v>
      </c>
      <c r="B380" s="4" t="str">
        <f>"2020021514"</f>
        <v>2020021514</v>
      </c>
      <c r="C380" s="5">
        <v>64.099999999999994</v>
      </c>
      <c r="D380" s="6">
        <v>73</v>
      </c>
      <c r="E380" s="7">
        <f t="shared" si="5"/>
        <v>137.1</v>
      </c>
      <c r="F380" s="8"/>
    </row>
    <row r="381" spans="1:6" ht="18" customHeight="1">
      <c r="A381" s="4" t="s">
        <v>12</v>
      </c>
      <c r="B381" s="4" t="str">
        <f>"2020043429"</f>
        <v>2020043429</v>
      </c>
      <c r="C381" s="5">
        <v>66</v>
      </c>
      <c r="D381" s="6">
        <v>69.5</v>
      </c>
      <c r="E381" s="7">
        <f t="shared" si="5"/>
        <v>135.5</v>
      </c>
      <c r="F381" s="8"/>
    </row>
    <row r="382" spans="1:6" ht="18" customHeight="1">
      <c r="A382" s="4" t="s">
        <v>12</v>
      </c>
      <c r="B382" s="4" t="str">
        <f>"2020013416"</f>
        <v>2020013416</v>
      </c>
      <c r="C382" s="5">
        <v>71.900000000000006</v>
      </c>
      <c r="D382" s="6">
        <v>63.5</v>
      </c>
      <c r="E382" s="7">
        <f t="shared" si="5"/>
        <v>135.4</v>
      </c>
      <c r="F382" s="8"/>
    </row>
    <row r="383" spans="1:6" ht="18" customHeight="1">
      <c r="A383" s="4" t="s">
        <v>12</v>
      </c>
      <c r="B383" s="4" t="str">
        <f>"2020012905"</f>
        <v>2020012905</v>
      </c>
      <c r="C383" s="5">
        <v>70.900000000000006</v>
      </c>
      <c r="D383" s="6">
        <v>64.5</v>
      </c>
      <c r="E383" s="7">
        <f t="shared" si="5"/>
        <v>135.4</v>
      </c>
      <c r="F383" s="8"/>
    </row>
    <row r="384" spans="1:6" ht="18" customHeight="1">
      <c r="A384" s="4" t="s">
        <v>12</v>
      </c>
      <c r="B384" s="4" t="str">
        <f>"2020043806"</f>
        <v>2020043806</v>
      </c>
      <c r="C384" s="5">
        <v>65.7</v>
      </c>
      <c r="D384" s="6">
        <v>69.5</v>
      </c>
      <c r="E384" s="7">
        <f t="shared" si="5"/>
        <v>135.19999999999999</v>
      </c>
      <c r="F384" s="8"/>
    </row>
    <row r="385" spans="1:6" ht="18" customHeight="1">
      <c r="A385" s="4" t="s">
        <v>12</v>
      </c>
      <c r="B385" s="4" t="str">
        <f>"2020013325"</f>
        <v>2020013325</v>
      </c>
      <c r="C385" s="5">
        <v>64.099999999999994</v>
      </c>
      <c r="D385" s="6">
        <v>71</v>
      </c>
      <c r="E385" s="7">
        <f t="shared" si="5"/>
        <v>135.1</v>
      </c>
      <c r="F385" s="8"/>
    </row>
    <row r="386" spans="1:6" ht="18" customHeight="1">
      <c r="A386" s="4" t="s">
        <v>12</v>
      </c>
      <c r="B386" s="4" t="str">
        <f>"2020032622"</f>
        <v>2020032622</v>
      </c>
      <c r="C386" s="5">
        <v>67.099999999999994</v>
      </c>
      <c r="D386" s="6">
        <v>67.5</v>
      </c>
      <c r="E386" s="7">
        <f t="shared" si="5"/>
        <v>134.6</v>
      </c>
      <c r="F386" s="8"/>
    </row>
    <row r="387" spans="1:6" ht="18" customHeight="1">
      <c r="A387" s="4" t="s">
        <v>12</v>
      </c>
      <c r="B387" s="4" t="str">
        <f>"2020030705"</f>
        <v>2020030705</v>
      </c>
      <c r="C387" s="5">
        <v>65.7</v>
      </c>
      <c r="D387" s="6">
        <v>68.5</v>
      </c>
      <c r="E387" s="7">
        <f t="shared" ref="E387:E450" si="6">SUM(C387:D387)</f>
        <v>134.19999999999999</v>
      </c>
      <c r="F387" s="8"/>
    </row>
    <row r="388" spans="1:6" ht="18" customHeight="1">
      <c r="A388" s="4" t="s">
        <v>12</v>
      </c>
      <c r="B388" s="4" t="str">
        <f>"2020011506"</f>
        <v>2020011506</v>
      </c>
      <c r="C388" s="5">
        <v>66.900000000000006</v>
      </c>
      <c r="D388" s="6">
        <v>65</v>
      </c>
      <c r="E388" s="7">
        <f t="shared" si="6"/>
        <v>131.9</v>
      </c>
      <c r="F388" s="8"/>
    </row>
    <row r="389" spans="1:6" ht="18" customHeight="1">
      <c r="A389" s="4" t="s">
        <v>12</v>
      </c>
      <c r="B389" s="4" t="str">
        <f>"2020010418"</f>
        <v>2020010418</v>
      </c>
      <c r="C389" s="5">
        <v>64.2</v>
      </c>
      <c r="D389" s="6">
        <v>67.5</v>
      </c>
      <c r="E389" s="7">
        <f t="shared" si="6"/>
        <v>131.69999999999999</v>
      </c>
      <c r="F389" s="8"/>
    </row>
    <row r="390" spans="1:6" ht="18" customHeight="1">
      <c r="A390" s="4" t="s">
        <v>12</v>
      </c>
      <c r="B390" s="4" t="str">
        <f>"2020030919"</f>
        <v>2020030919</v>
      </c>
      <c r="C390" s="5">
        <v>65.5</v>
      </c>
      <c r="D390" s="6">
        <v>66</v>
      </c>
      <c r="E390" s="7">
        <f t="shared" si="6"/>
        <v>131.5</v>
      </c>
      <c r="F390" s="8"/>
    </row>
    <row r="391" spans="1:6" ht="18" customHeight="1">
      <c r="A391" s="4" t="s">
        <v>12</v>
      </c>
      <c r="B391" s="4" t="str">
        <f>"2020042616"</f>
        <v>2020042616</v>
      </c>
      <c r="C391" s="5">
        <v>63.5</v>
      </c>
      <c r="D391" s="6">
        <v>67.5</v>
      </c>
      <c r="E391" s="7">
        <f t="shared" si="6"/>
        <v>131</v>
      </c>
      <c r="F391" s="8"/>
    </row>
    <row r="392" spans="1:6" ht="18" customHeight="1">
      <c r="A392" s="4" t="s">
        <v>12</v>
      </c>
      <c r="B392" s="4" t="str">
        <f>"2020022318"</f>
        <v>2020022318</v>
      </c>
      <c r="C392" s="5">
        <v>65.900000000000006</v>
      </c>
      <c r="D392" s="6">
        <v>64.5</v>
      </c>
      <c r="E392" s="7">
        <f t="shared" si="6"/>
        <v>130.4</v>
      </c>
      <c r="F392" s="9" t="s">
        <v>13</v>
      </c>
    </row>
    <row r="393" spans="1:6" ht="18" customHeight="1">
      <c r="A393" s="4" t="s">
        <v>12</v>
      </c>
      <c r="B393" s="4" t="str">
        <f>"2020033918"</f>
        <v>2020033918</v>
      </c>
      <c r="C393" s="5">
        <v>67.900000000000006</v>
      </c>
      <c r="D393" s="6">
        <v>62</v>
      </c>
      <c r="E393" s="7">
        <f t="shared" si="6"/>
        <v>129.9</v>
      </c>
      <c r="F393" s="8"/>
    </row>
    <row r="394" spans="1:6" ht="18" customHeight="1">
      <c r="A394" s="4" t="s">
        <v>12</v>
      </c>
      <c r="B394" s="4" t="str">
        <f>"2020031411"</f>
        <v>2020031411</v>
      </c>
      <c r="C394" s="5">
        <v>65.8</v>
      </c>
      <c r="D394" s="6">
        <v>62.5</v>
      </c>
      <c r="E394" s="7">
        <f t="shared" si="6"/>
        <v>128.30000000000001</v>
      </c>
      <c r="F394" s="8"/>
    </row>
    <row r="395" spans="1:6" ht="18" customHeight="1">
      <c r="A395" s="4" t="s">
        <v>12</v>
      </c>
      <c r="B395" s="4" t="str">
        <f>"2020010222"</f>
        <v>2020010222</v>
      </c>
      <c r="C395" s="5">
        <v>60.7</v>
      </c>
      <c r="D395" s="6">
        <v>67</v>
      </c>
      <c r="E395" s="7">
        <f t="shared" si="6"/>
        <v>127.7</v>
      </c>
      <c r="F395" s="8"/>
    </row>
    <row r="396" spans="1:6" ht="18" customHeight="1">
      <c r="A396" s="4" t="s">
        <v>12</v>
      </c>
      <c r="B396" s="4" t="str">
        <f>"2020011611"</f>
        <v>2020011611</v>
      </c>
      <c r="C396" s="5">
        <v>66.900000000000006</v>
      </c>
      <c r="D396" s="6">
        <v>60</v>
      </c>
      <c r="E396" s="7">
        <f t="shared" si="6"/>
        <v>126.9</v>
      </c>
      <c r="F396" s="8"/>
    </row>
    <row r="397" spans="1:6" ht="18" customHeight="1">
      <c r="A397" s="4" t="s">
        <v>12</v>
      </c>
      <c r="B397" s="4" t="str">
        <f>"2020021709"</f>
        <v>2020021709</v>
      </c>
      <c r="C397" s="5">
        <v>61.8</v>
      </c>
      <c r="D397" s="6">
        <v>65</v>
      </c>
      <c r="E397" s="7">
        <f t="shared" si="6"/>
        <v>126.8</v>
      </c>
      <c r="F397" s="8"/>
    </row>
    <row r="398" spans="1:6" ht="18" customHeight="1">
      <c r="A398" s="4" t="s">
        <v>12</v>
      </c>
      <c r="B398" s="4" t="str">
        <f>"2020021304"</f>
        <v>2020021304</v>
      </c>
      <c r="C398" s="5">
        <v>67.599999999999994</v>
      </c>
      <c r="D398" s="6">
        <v>59</v>
      </c>
      <c r="E398" s="7">
        <f t="shared" si="6"/>
        <v>126.6</v>
      </c>
      <c r="F398" s="8"/>
    </row>
    <row r="399" spans="1:6" ht="18" customHeight="1">
      <c r="A399" s="4" t="s">
        <v>12</v>
      </c>
      <c r="B399" s="4" t="str">
        <f>"2020020220"</f>
        <v>2020020220</v>
      </c>
      <c r="C399" s="5">
        <v>60.7</v>
      </c>
      <c r="D399" s="6">
        <v>65</v>
      </c>
      <c r="E399" s="7">
        <f t="shared" si="6"/>
        <v>125.7</v>
      </c>
      <c r="F399" s="8"/>
    </row>
    <row r="400" spans="1:6" ht="18" customHeight="1">
      <c r="A400" s="4" t="s">
        <v>12</v>
      </c>
      <c r="B400" s="4" t="str">
        <f>"2020043129"</f>
        <v>2020043129</v>
      </c>
      <c r="C400" s="5">
        <v>72.400000000000006</v>
      </c>
      <c r="D400" s="6">
        <v>51.5</v>
      </c>
      <c r="E400" s="7">
        <f t="shared" si="6"/>
        <v>123.9</v>
      </c>
      <c r="F400" s="8"/>
    </row>
    <row r="401" spans="1:6" ht="18" customHeight="1">
      <c r="A401" s="4" t="s">
        <v>12</v>
      </c>
      <c r="B401" s="4" t="str">
        <f>"2020030601"</f>
        <v>2020030601</v>
      </c>
      <c r="C401" s="5">
        <v>60.6</v>
      </c>
      <c r="D401" s="6">
        <v>63</v>
      </c>
      <c r="E401" s="7">
        <f t="shared" si="6"/>
        <v>123.6</v>
      </c>
      <c r="F401" s="8"/>
    </row>
    <row r="402" spans="1:6" ht="18" customHeight="1">
      <c r="A402" s="4" t="s">
        <v>12</v>
      </c>
      <c r="B402" s="4" t="str">
        <f>"2020020118"</f>
        <v>2020020118</v>
      </c>
      <c r="C402" s="5">
        <v>61.2</v>
      </c>
      <c r="D402" s="6">
        <v>60.5</v>
      </c>
      <c r="E402" s="7">
        <f t="shared" si="6"/>
        <v>121.7</v>
      </c>
      <c r="F402" s="8"/>
    </row>
    <row r="403" spans="1:6" ht="18" customHeight="1">
      <c r="A403" s="4" t="s">
        <v>12</v>
      </c>
      <c r="B403" s="4" t="str">
        <f>"2020043803"</f>
        <v>2020043803</v>
      </c>
      <c r="C403" s="5">
        <v>60.7</v>
      </c>
      <c r="D403" s="6">
        <v>58</v>
      </c>
      <c r="E403" s="7">
        <f t="shared" si="6"/>
        <v>118.7</v>
      </c>
      <c r="F403" s="8"/>
    </row>
    <row r="404" spans="1:6" ht="18" customHeight="1">
      <c r="A404" s="4" t="s">
        <v>12</v>
      </c>
      <c r="B404" s="4" t="str">
        <f>"2020041812"</f>
        <v>2020041812</v>
      </c>
      <c r="C404" s="5">
        <v>66</v>
      </c>
      <c r="D404" s="6">
        <v>52.5</v>
      </c>
      <c r="E404" s="7">
        <f t="shared" si="6"/>
        <v>118.5</v>
      </c>
      <c r="F404" s="8"/>
    </row>
    <row r="405" spans="1:6" ht="18" customHeight="1">
      <c r="A405" s="4" t="s">
        <v>12</v>
      </c>
      <c r="B405" s="4" t="str">
        <f>"2020033829"</f>
        <v>2020033829</v>
      </c>
      <c r="C405" s="5">
        <v>63.2</v>
      </c>
      <c r="D405" s="6">
        <v>52.5</v>
      </c>
      <c r="E405" s="7">
        <f t="shared" si="6"/>
        <v>115.7</v>
      </c>
      <c r="F405" s="8"/>
    </row>
    <row r="406" spans="1:6" ht="18" customHeight="1">
      <c r="A406" s="4" t="s">
        <v>12</v>
      </c>
      <c r="B406" s="4" t="str">
        <f>"2020021101"</f>
        <v>2020021101</v>
      </c>
      <c r="C406" s="5">
        <v>60.5</v>
      </c>
      <c r="D406" s="6">
        <v>54.5</v>
      </c>
      <c r="E406" s="7">
        <f t="shared" si="6"/>
        <v>115</v>
      </c>
      <c r="F406" s="8"/>
    </row>
    <row r="407" spans="1:6" ht="18" customHeight="1">
      <c r="A407" s="4" t="s">
        <v>12</v>
      </c>
      <c r="B407" s="4" t="str">
        <f>"2020013217"</f>
        <v>2020013217</v>
      </c>
      <c r="C407" s="5">
        <v>53.5</v>
      </c>
      <c r="D407" s="6">
        <v>61.5</v>
      </c>
      <c r="E407" s="7">
        <f t="shared" si="6"/>
        <v>115</v>
      </c>
      <c r="F407" s="8"/>
    </row>
    <row r="408" spans="1:6" ht="18" customHeight="1">
      <c r="A408" s="4" t="s">
        <v>12</v>
      </c>
      <c r="B408" s="4" t="str">
        <f>"2020042811"</f>
        <v>2020042811</v>
      </c>
      <c r="C408" s="5">
        <v>53.9</v>
      </c>
      <c r="D408" s="6">
        <v>57.5</v>
      </c>
      <c r="E408" s="7">
        <f t="shared" si="6"/>
        <v>111.4</v>
      </c>
      <c r="F408" s="8"/>
    </row>
    <row r="409" spans="1:6" ht="18" customHeight="1">
      <c r="A409" s="4" t="s">
        <v>12</v>
      </c>
      <c r="B409" s="4" t="str">
        <f>"2020010815"</f>
        <v>2020010815</v>
      </c>
      <c r="C409" s="5">
        <v>47.8</v>
      </c>
      <c r="D409" s="6">
        <v>63</v>
      </c>
      <c r="E409" s="7">
        <f t="shared" si="6"/>
        <v>110.8</v>
      </c>
      <c r="F409" s="8"/>
    </row>
    <row r="410" spans="1:6" ht="18" customHeight="1">
      <c r="A410" s="4" t="s">
        <v>12</v>
      </c>
      <c r="B410" s="4" t="str">
        <f>"2020043121"</f>
        <v>2020043121</v>
      </c>
      <c r="C410" s="5">
        <v>52.7</v>
      </c>
      <c r="D410" s="6">
        <v>49.5</v>
      </c>
      <c r="E410" s="7">
        <f t="shared" si="6"/>
        <v>102.2</v>
      </c>
      <c r="F410" s="8"/>
    </row>
    <row r="411" spans="1:6" ht="18" customHeight="1">
      <c r="A411" s="4" t="s">
        <v>12</v>
      </c>
      <c r="B411" s="4" t="str">
        <f>"2020044805"</f>
        <v>2020044805</v>
      </c>
      <c r="C411" s="5">
        <v>49.5</v>
      </c>
      <c r="D411" s="6">
        <v>52.5</v>
      </c>
      <c r="E411" s="7">
        <f t="shared" si="6"/>
        <v>102</v>
      </c>
      <c r="F411" s="8"/>
    </row>
    <row r="412" spans="1:6" ht="18" customHeight="1">
      <c r="A412" s="4" t="s">
        <v>12</v>
      </c>
      <c r="B412" s="4" t="str">
        <f>"2020042426"</f>
        <v>2020042426</v>
      </c>
      <c r="C412" s="5">
        <v>46.4</v>
      </c>
      <c r="D412" s="6">
        <v>43.5</v>
      </c>
      <c r="E412" s="7">
        <f t="shared" si="6"/>
        <v>89.9</v>
      </c>
      <c r="F412" s="8"/>
    </row>
    <row r="413" spans="1:6" ht="18" customHeight="1">
      <c r="A413" s="4" t="s">
        <v>12</v>
      </c>
      <c r="B413" s="4" t="str">
        <f>"2020011221"</f>
        <v>2020011221</v>
      </c>
      <c r="C413" s="5">
        <v>0</v>
      </c>
      <c r="D413" s="6">
        <v>0</v>
      </c>
      <c r="E413" s="7">
        <f t="shared" si="6"/>
        <v>0</v>
      </c>
      <c r="F413" s="9" t="s">
        <v>8</v>
      </c>
    </row>
    <row r="414" spans="1:6" ht="18" customHeight="1">
      <c r="A414" s="4" t="s">
        <v>12</v>
      </c>
      <c r="B414" s="4" t="str">
        <f>"2020011816"</f>
        <v>2020011816</v>
      </c>
      <c r="C414" s="5">
        <v>0</v>
      </c>
      <c r="D414" s="6">
        <v>0</v>
      </c>
      <c r="E414" s="7">
        <f t="shared" si="6"/>
        <v>0</v>
      </c>
      <c r="F414" s="9" t="s">
        <v>8</v>
      </c>
    </row>
    <row r="415" spans="1:6" ht="18" customHeight="1">
      <c r="A415" s="4" t="s">
        <v>12</v>
      </c>
      <c r="B415" s="4" t="str">
        <f>"2020012815"</f>
        <v>2020012815</v>
      </c>
      <c r="C415" s="5">
        <v>0</v>
      </c>
      <c r="D415" s="6">
        <v>0</v>
      </c>
      <c r="E415" s="7">
        <f t="shared" si="6"/>
        <v>0</v>
      </c>
      <c r="F415" s="9" t="s">
        <v>8</v>
      </c>
    </row>
    <row r="416" spans="1:6" ht="18" customHeight="1">
      <c r="A416" s="4" t="s">
        <v>12</v>
      </c>
      <c r="B416" s="4" t="str">
        <f>"2020013228"</f>
        <v>2020013228</v>
      </c>
      <c r="C416" s="5">
        <v>0</v>
      </c>
      <c r="D416" s="6">
        <v>0</v>
      </c>
      <c r="E416" s="7">
        <f t="shared" si="6"/>
        <v>0</v>
      </c>
      <c r="F416" s="9" t="s">
        <v>8</v>
      </c>
    </row>
    <row r="417" spans="1:6" ht="18" customHeight="1">
      <c r="A417" s="4" t="s">
        <v>12</v>
      </c>
      <c r="B417" s="4" t="str">
        <f>"2020013230"</f>
        <v>2020013230</v>
      </c>
      <c r="C417" s="5">
        <v>0</v>
      </c>
      <c r="D417" s="6">
        <v>0</v>
      </c>
      <c r="E417" s="7">
        <f t="shared" si="6"/>
        <v>0</v>
      </c>
      <c r="F417" s="9" t="s">
        <v>8</v>
      </c>
    </row>
    <row r="418" spans="1:6" ht="18" customHeight="1">
      <c r="A418" s="4" t="s">
        <v>12</v>
      </c>
      <c r="B418" s="4" t="str">
        <f>"2020020511"</f>
        <v>2020020511</v>
      </c>
      <c r="C418" s="5">
        <v>0</v>
      </c>
      <c r="D418" s="6">
        <v>0</v>
      </c>
      <c r="E418" s="7">
        <f t="shared" si="6"/>
        <v>0</v>
      </c>
      <c r="F418" s="8" t="s">
        <v>8</v>
      </c>
    </row>
    <row r="419" spans="1:6" ht="18" customHeight="1">
      <c r="A419" s="4" t="s">
        <v>12</v>
      </c>
      <c r="B419" s="4" t="str">
        <f>"2020021622"</f>
        <v>2020021622</v>
      </c>
      <c r="C419" s="5">
        <v>0</v>
      </c>
      <c r="D419" s="6">
        <v>0</v>
      </c>
      <c r="E419" s="7">
        <f t="shared" si="6"/>
        <v>0</v>
      </c>
      <c r="F419" s="8" t="s">
        <v>8</v>
      </c>
    </row>
    <row r="420" spans="1:6" ht="18" customHeight="1">
      <c r="A420" s="4" t="s">
        <v>12</v>
      </c>
      <c r="B420" s="4" t="str">
        <f>"2020021722"</f>
        <v>2020021722</v>
      </c>
      <c r="C420" s="5">
        <v>0</v>
      </c>
      <c r="D420" s="6">
        <v>0</v>
      </c>
      <c r="E420" s="7">
        <f t="shared" si="6"/>
        <v>0</v>
      </c>
      <c r="F420" s="8" t="s">
        <v>8</v>
      </c>
    </row>
    <row r="421" spans="1:6" ht="18" customHeight="1">
      <c r="A421" s="4" t="s">
        <v>12</v>
      </c>
      <c r="B421" s="4" t="str">
        <f>"2020022016"</f>
        <v>2020022016</v>
      </c>
      <c r="C421" s="5">
        <v>0</v>
      </c>
      <c r="D421" s="6">
        <v>0</v>
      </c>
      <c r="E421" s="7">
        <f t="shared" si="6"/>
        <v>0</v>
      </c>
      <c r="F421" s="8" t="s">
        <v>8</v>
      </c>
    </row>
    <row r="422" spans="1:6" ht="18" customHeight="1">
      <c r="A422" s="4" t="s">
        <v>12</v>
      </c>
      <c r="B422" s="4" t="str">
        <f>"2020022819"</f>
        <v>2020022819</v>
      </c>
      <c r="C422" s="5">
        <v>0</v>
      </c>
      <c r="D422" s="6">
        <v>0</v>
      </c>
      <c r="E422" s="7">
        <f t="shared" si="6"/>
        <v>0</v>
      </c>
      <c r="F422" s="8" t="s">
        <v>8</v>
      </c>
    </row>
    <row r="423" spans="1:6" ht="18" customHeight="1">
      <c r="A423" s="4" t="s">
        <v>12</v>
      </c>
      <c r="B423" s="4" t="str">
        <f>"2020024609"</f>
        <v>2020024609</v>
      </c>
      <c r="C423" s="5">
        <v>0</v>
      </c>
      <c r="D423" s="6">
        <v>0</v>
      </c>
      <c r="E423" s="7">
        <f t="shared" si="6"/>
        <v>0</v>
      </c>
      <c r="F423" s="8" t="s">
        <v>8</v>
      </c>
    </row>
    <row r="424" spans="1:6" ht="18" customHeight="1">
      <c r="A424" s="4" t="s">
        <v>12</v>
      </c>
      <c r="B424" s="4" t="str">
        <f>"2020030501"</f>
        <v>2020030501</v>
      </c>
      <c r="C424" s="5">
        <v>0</v>
      </c>
      <c r="D424" s="6">
        <v>0</v>
      </c>
      <c r="E424" s="7">
        <f t="shared" si="6"/>
        <v>0</v>
      </c>
      <c r="F424" s="8" t="s">
        <v>8</v>
      </c>
    </row>
    <row r="425" spans="1:6" ht="18" customHeight="1">
      <c r="A425" s="4" t="s">
        <v>12</v>
      </c>
      <c r="B425" s="4" t="str">
        <f>"2020030627"</f>
        <v>2020030627</v>
      </c>
      <c r="C425" s="5">
        <v>0</v>
      </c>
      <c r="D425" s="6">
        <v>0</v>
      </c>
      <c r="E425" s="7">
        <f t="shared" si="6"/>
        <v>0</v>
      </c>
      <c r="F425" s="8" t="s">
        <v>8</v>
      </c>
    </row>
    <row r="426" spans="1:6" ht="18" customHeight="1">
      <c r="A426" s="4" t="s">
        <v>12</v>
      </c>
      <c r="B426" s="4" t="str">
        <f>"2020031419"</f>
        <v>2020031419</v>
      </c>
      <c r="C426" s="5">
        <v>0</v>
      </c>
      <c r="D426" s="6">
        <v>0</v>
      </c>
      <c r="E426" s="7">
        <f t="shared" si="6"/>
        <v>0</v>
      </c>
      <c r="F426" s="8" t="s">
        <v>8</v>
      </c>
    </row>
    <row r="427" spans="1:6" ht="18" customHeight="1">
      <c r="A427" s="4" t="s">
        <v>12</v>
      </c>
      <c r="B427" s="4" t="str">
        <f>"2020031716"</f>
        <v>2020031716</v>
      </c>
      <c r="C427" s="5">
        <v>0</v>
      </c>
      <c r="D427" s="6">
        <v>0</v>
      </c>
      <c r="E427" s="7">
        <f t="shared" si="6"/>
        <v>0</v>
      </c>
      <c r="F427" s="8" t="s">
        <v>8</v>
      </c>
    </row>
    <row r="428" spans="1:6" ht="18" customHeight="1">
      <c r="A428" s="4" t="s">
        <v>12</v>
      </c>
      <c r="B428" s="4" t="str">
        <f>"2020032825"</f>
        <v>2020032825</v>
      </c>
      <c r="C428" s="5">
        <v>0</v>
      </c>
      <c r="D428" s="6">
        <v>0</v>
      </c>
      <c r="E428" s="7">
        <f t="shared" si="6"/>
        <v>0</v>
      </c>
      <c r="F428" s="8" t="s">
        <v>8</v>
      </c>
    </row>
    <row r="429" spans="1:6" ht="18" customHeight="1">
      <c r="A429" s="4" t="s">
        <v>12</v>
      </c>
      <c r="B429" s="4" t="str">
        <f>"2020032901"</f>
        <v>2020032901</v>
      </c>
      <c r="C429" s="5">
        <v>0</v>
      </c>
      <c r="D429" s="6">
        <v>0</v>
      </c>
      <c r="E429" s="7">
        <f t="shared" si="6"/>
        <v>0</v>
      </c>
      <c r="F429" s="8" t="s">
        <v>8</v>
      </c>
    </row>
    <row r="430" spans="1:6" ht="18" customHeight="1">
      <c r="A430" s="4" t="s">
        <v>12</v>
      </c>
      <c r="B430" s="4" t="str">
        <f>"2020040826"</f>
        <v>2020040826</v>
      </c>
      <c r="C430" s="5">
        <v>0</v>
      </c>
      <c r="D430" s="6">
        <v>0</v>
      </c>
      <c r="E430" s="7">
        <f t="shared" si="6"/>
        <v>0</v>
      </c>
      <c r="F430" s="8" t="s">
        <v>8</v>
      </c>
    </row>
    <row r="431" spans="1:6" ht="18" customHeight="1">
      <c r="A431" s="4" t="s">
        <v>12</v>
      </c>
      <c r="B431" s="4" t="str">
        <f>"2020040829"</f>
        <v>2020040829</v>
      </c>
      <c r="C431" s="5">
        <v>0</v>
      </c>
      <c r="D431" s="6">
        <v>0</v>
      </c>
      <c r="E431" s="7">
        <f t="shared" si="6"/>
        <v>0</v>
      </c>
      <c r="F431" s="8" t="s">
        <v>8</v>
      </c>
    </row>
    <row r="432" spans="1:6" ht="18" customHeight="1">
      <c r="A432" s="4" t="s">
        <v>12</v>
      </c>
      <c r="B432" s="4" t="str">
        <f>"2020041914"</f>
        <v>2020041914</v>
      </c>
      <c r="C432" s="5">
        <v>0</v>
      </c>
      <c r="D432" s="6">
        <v>0</v>
      </c>
      <c r="E432" s="7">
        <f t="shared" si="6"/>
        <v>0</v>
      </c>
      <c r="F432" s="8" t="s">
        <v>8</v>
      </c>
    </row>
    <row r="433" spans="1:6" ht="18" customHeight="1">
      <c r="A433" s="4" t="s">
        <v>12</v>
      </c>
      <c r="B433" s="4" t="str">
        <f>"2020042617"</f>
        <v>2020042617</v>
      </c>
      <c r="C433" s="5">
        <v>0</v>
      </c>
      <c r="D433" s="6">
        <v>0</v>
      </c>
      <c r="E433" s="7">
        <f t="shared" si="6"/>
        <v>0</v>
      </c>
      <c r="F433" s="8" t="s">
        <v>8</v>
      </c>
    </row>
    <row r="434" spans="1:6" ht="18" customHeight="1">
      <c r="A434" s="4" t="s">
        <v>12</v>
      </c>
      <c r="B434" s="4" t="str">
        <f>"2020043916"</f>
        <v>2020043916</v>
      </c>
      <c r="C434" s="5">
        <v>0</v>
      </c>
      <c r="D434" s="6">
        <v>0</v>
      </c>
      <c r="E434" s="7">
        <f t="shared" si="6"/>
        <v>0</v>
      </c>
      <c r="F434" s="8" t="s">
        <v>8</v>
      </c>
    </row>
    <row r="435" spans="1:6" ht="18" customHeight="1">
      <c r="A435" s="4" t="s">
        <v>12</v>
      </c>
      <c r="B435" s="4" t="str">
        <f>"2020044018"</f>
        <v>2020044018</v>
      </c>
      <c r="C435" s="5">
        <v>0</v>
      </c>
      <c r="D435" s="6">
        <v>0</v>
      </c>
      <c r="E435" s="7">
        <f t="shared" si="6"/>
        <v>0</v>
      </c>
      <c r="F435" s="8" t="s">
        <v>8</v>
      </c>
    </row>
    <row r="436" spans="1:6" ht="18" customHeight="1">
      <c r="A436" s="4" t="s">
        <v>12</v>
      </c>
      <c r="B436" s="4" t="str">
        <f>"2020046503"</f>
        <v>2020046503</v>
      </c>
      <c r="C436" s="5">
        <v>0</v>
      </c>
      <c r="D436" s="6">
        <v>0</v>
      </c>
      <c r="E436" s="7">
        <f t="shared" si="6"/>
        <v>0</v>
      </c>
      <c r="F436" s="8" t="s">
        <v>8</v>
      </c>
    </row>
    <row r="437" spans="1:6" ht="18" customHeight="1">
      <c r="A437" s="4" t="s">
        <v>12</v>
      </c>
      <c r="B437" s="4" t="str">
        <f>"2020047108"</f>
        <v>2020047108</v>
      </c>
      <c r="C437" s="5">
        <v>0</v>
      </c>
      <c r="D437" s="6">
        <v>0</v>
      </c>
      <c r="E437" s="7">
        <f t="shared" si="6"/>
        <v>0</v>
      </c>
      <c r="F437" s="8" t="s">
        <v>8</v>
      </c>
    </row>
    <row r="438" spans="1:6" ht="18" customHeight="1">
      <c r="A438" s="4" t="s">
        <v>12</v>
      </c>
      <c r="B438" s="4" t="str">
        <f>"2020047226"</f>
        <v>2020047226</v>
      </c>
      <c r="C438" s="5">
        <v>0</v>
      </c>
      <c r="D438" s="6">
        <v>0</v>
      </c>
      <c r="E438" s="7">
        <f t="shared" si="6"/>
        <v>0</v>
      </c>
      <c r="F438" s="8" t="s">
        <v>8</v>
      </c>
    </row>
    <row r="439" spans="1:6" ht="18" customHeight="1">
      <c r="A439" s="4" t="s">
        <v>14</v>
      </c>
      <c r="B439" s="4" t="str">
        <f>"2020012911"</f>
        <v>2020012911</v>
      </c>
      <c r="C439" s="5">
        <v>80.2</v>
      </c>
      <c r="D439" s="6">
        <v>75.5</v>
      </c>
      <c r="E439" s="7">
        <f t="shared" si="6"/>
        <v>155.69999999999999</v>
      </c>
      <c r="F439" s="8"/>
    </row>
    <row r="440" spans="1:6" ht="18" customHeight="1">
      <c r="A440" s="4" t="s">
        <v>14</v>
      </c>
      <c r="B440" s="4" t="str">
        <f>"2020024818"</f>
        <v>2020024818</v>
      </c>
      <c r="C440" s="5">
        <v>78.099999999999994</v>
      </c>
      <c r="D440" s="6">
        <v>76</v>
      </c>
      <c r="E440" s="7">
        <f t="shared" si="6"/>
        <v>154.1</v>
      </c>
      <c r="F440" s="8"/>
    </row>
    <row r="441" spans="1:6" ht="18" customHeight="1">
      <c r="A441" s="4" t="s">
        <v>14</v>
      </c>
      <c r="B441" s="4" t="str">
        <f>"2020020213"</f>
        <v>2020020213</v>
      </c>
      <c r="C441" s="5">
        <v>70.7</v>
      </c>
      <c r="D441" s="6">
        <v>83</v>
      </c>
      <c r="E441" s="7">
        <f t="shared" si="6"/>
        <v>153.69999999999999</v>
      </c>
      <c r="F441" s="8"/>
    </row>
    <row r="442" spans="1:6" ht="18" customHeight="1">
      <c r="A442" s="4" t="s">
        <v>14</v>
      </c>
      <c r="B442" s="4" t="str">
        <f>"2020033408"</f>
        <v>2020033408</v>
      </c>
      <c r="C442" s="5">
        <v>68.7</v>
      </c>
      <c r="D442" s="6">
        <v>82</v>
      </c>
      <c r="E442" s="7">
        <f t="shared" si="6"/>
        <v>150.69999999999999</v>
      </c>
      <c r="F442" s="8"/>
    </row>
    <row r="443" spans="1:6" ht="18" customHeight="1">
      <c r="A443" s="4" t="s">
        <v>14</v>
      </c>
      <c r="B443" s="4" t="str">
        <f>"2020041604"</f>
        <v>2020041604</v>
      </c>
      <c r="C443" s="5">
        <v>74.099999999999994</v>
      </c>
      <c r="D443" s="6">
        <v>76.5</v>
      </c>
      <c r="E443" s="7">
        <f t="shared" si="6"/>
        <v>150.6</v>
      </c>
      <c r="F443" s="8"/>
    </row>
    <row r="444" spans="1:6" ht="18" customHeight="1">
      <c r="A444" s="4" t="s">
        <v>14</v>
      </c>
      <c r="B444" s="4" t="str">
        <f>"2020033209"</f>
        <v>2020033209</v>
      </c>
      <c r="C444" s="5">
        <v>82</v>
      </c>
      <c r="D444" s="6">
        <v>68</v>
      </c>
      <c r="E444" s="7">
        <f t="shared" si="6"/>
        <v>150</v>
      </c>
      <c r="F444" s="8"/>
    </row>
    <row r="445" spans="1:6" ht="18" customHeight="1">
      <c r="A445" s="4" t="s">
        <v>14</v>
      </c>
      <c r="B445" s="4" t="str">
        <f>"2020047216"</f>
        <v>2020047216</v>
      </c>
      <c r="C445" s="5">
        <v>80.900000000000006</v>
      </c>
      <c r="D445" s="6">
        <v>67.5</v>
      </c>
      <c r="E445" s="7">
        <f t="shared" si="6"/>
        <v>148.4</v>
      </c>
      <c r="F445" s="8"/>
    </row>
    <row r="446" spans="1:6" ht="18" customHeight="1">
      <c r="A446" s="4" t="s">
        <v>14</v>
      </c>
      <c r="B446" s="4" t="str">
        <f>"2020047510"</f>
        <v>2020047510</v>
      </c>
      <c r="C446" s="5">
        <v>72.900000000000006</v>
      </c>
      <c r="D446" s="6">
        <v>73.5</v>
      </c>
      <c r="E446" s="7">
        <f t="shared" si="6"/>
        <v>146.4</v>
      </c>
      <c r="F446" s="8"/>
    </row>
    <row r="447" spans="1:6" ht="18" customHeight="1">
      <c r="A447" s="4" t="s">
        <v>14</v>
      </c>
      <c r="B447" s="4" t="str">
        <f>"2020012813"</f>
        <v>2020012813</v>
      </c>
      <c r="C447" s="5">
        <v>77.8</v>
      </c>
      <c r="D447" s="6">
        <v>68.5</v>
      </c>
      <c r="E447" s="7">
        <f t="shared" si="6"/>
        <v>146.30000000000001</v>
      </c>
      <c r="F447" s="9" t="s">
        <v>13</v>
      </c>
    </row>
    <row r="448" spans="1:6" ht="18" customHeight="1">
      <c r="A448" s="4" t="s">
        <v>14</v>
      </c>
      <c r="B448" s="4" t="str">
        <f>"2020041301"</f>
        <v>2020041301</v>
      </c>
      <c r="C448" s="5">
        <v>75.099999999999994</v>
      </c>
      <c r="D448" s="6">
        <v>71</v>
      </c>
      <c r="E448" s="7">
        <f t="shared" si="6"/>
        <v>146.1</v>
      </c>
      <c r="F448" s="8"/>
    </row>
    <row r="449" spans="1:6" ht="18" customHeight="1">
      <c r="A449" s="4" t="s">
        <v>14</v>
      </c>
      <c r="B449" s="4" t="str">
        <f>"2020041410"</f>
        <v>2020041410</v>
      </c>
      <c r="C449" s="5">
        <v>72.2</v>
      </c>
      <c r="D449" s="6">
        <v>73.5</v>
      </c>
      <c r="E449" s="7">
        <f t="shared" si="6"/>
        <v>145.69999999999999</v>
      </c>
      <c r="F449" s="8"/>
    </row>
    <row r="450" spans="1:6" ht="18" customHeight="1">
      <c r="A450" s="4" t="s">
        <v>14</v>
      </c>
      <c r="B450" s="4" t="str">
        <f>"2020021928"</f>
        <v>2020021928</v>
      </c>
      <c r="C450" s="5">
        <v>78.2</v>
      </c>
      <c r="D450" s="6">
        <v>67</v>
      </c>
      <c r="E450" s="7">
        <f t="shared" si="6"/>
        <v>145.19999999999999</v>
      </c>
      <c r="F450" s="8"/>
    </row>
    <row r="451" spans="1:6" ht="18" customHeight="1">
      <c r="A451" s="4" t="s">
        <v>14</v>
      </c>
      <c r="B451" s="4" t="str">
        <f>"2020042720"</f>
        <v>2020042720</v>
      </c>
      <c r="C451" s="5">
        <v>70.7</v>
      </c>
      <c r="D451" s="6">
        <v>74.5</v>
      </c>
      <c r="E451" s="7">
        <f t="shared" ref="E451:E514" si="7">SUM(C451:D451)</f>
        <v>145.19999999999999</v>
      </c>
      <c r="F451" s="8"/>
    </row>
    <row r="452" spans="1:6" ht="18" customHeight="1">
      <c r="A452" s="4" t="s">
        <v>14</v>
      </c>
      <c r="B452" s="4" t="str">
        <f>"2020023315"</f>
        <v>2020023315</v>
      </c>
      <c r="C452" s="5">
        <v>71.900000000000006</v>
      </c>
      <c r="D452" s="6">
        <v>71</v>
      </c>
      <c r="E452" s="7">
        <f t="shared" si="7"/>
        <v>142.9</v>
      </c>
      <c r="F452" s="8"/>
    </row>
    <row r="453" spans="1:6" ht="18" customHeight="1">
      <c r="A453" s="4" t="s">
        <v>14</v>
      </c>
      <c r="B453" s="4" t="str">
        <f>"2020030616"</f>
        <v>2020030616</v>
      </c>
      <c r="C453" s="5">
        <v>67.8</v>
      </c>
      <c r="D453" s="6">
        <v>74.5</v>
      </c>
      <c r="E453" s="7">
        <f t="shared" si="7"/>
        <v>142.30000000000001</v>
      </c>
      <c r="F453" s="8"/>
    </row>
    <row r="454" spans="1:6" ht="18" customHeight="1">
      <c r="A454" s="4" t="s">
        <v>14</v>
      </c>
      <c r="B454" s="4" t="str">
        <f>"2020032905"</f>
        <v>2020032905</v>
      </c>
      <c r="C454" s="5">
        <v>78.3</v>
      </c>
      <c r="D454" s="6">
        <v>63.5</v>
      </c>
      <c r="E454" s="7">
        <f t="shared" si="7"/>
        <v>141.80000000000001</v>
      </c>
      <c r="F454" s="8"/>
    </row>
    <row r="455" spans="1:6" ht="18" customHeight="1">
      <c r="A455" s="4" t="s">
        <v>14</v>
      </c>
      <c r="B455" s="4" t="str">
        <f>"2020040902"</f>
        <v>2020040902</v>
      </c>
      <c r="C455" s="5">
        <v>70.900000000000006</v>
      </c>
      <c r="D455" s="6">
        <v>68</v>
      </c>
      <c r="E455" s="7">
        <f t="shared" si="7"/>
        <v>138.9</v>
      </c>
      <c r="F455" s="8"/>
    </row>
    <row r="456" spans="1:6" ht="18" customHeight="1">
      <c r="A456" s="4" t="s">
        <v>14</v>
      </c>
      <c r="B456" s="4" t="str">
        <f>"2020032719"</f>
        <v>2020032719</v>
      </c>
      <c r="C456" s="5">
        <v>71.7</v>
      </c>
      <c r="D456" s="6">
        <v>66.5</v>
      </c>
      <c r="E456" s="7">
        <f t="shared" si="7"/>
        <v>138.19999999999999</v>
      </c>
      <c r="F456" s="8"/>
    </row>
    <row r="457" spans="1:6" ht="18" customHeight="1">
      <c r="A457" s="4" t="s">
        <v>14</v>
      </c>
      <c r="B457" s="4" t="str">
        <f>"2020047126"</f>
        <v>2020047126</v>
      </c>
      <c r="C457" s="5">
        <v>69.7</v>
      </c>
      <c r="D457" s="6">
        <v>68</v>
      </c>
      <c r="E457" s="7">
        <f t="shared" si="7"/>
        <v>137.69999999999999</v>
      </c>
      <c r="F457" s="9" t="s">
        <v>13</v>
      </c>
    </row>
    <row r="458" spans="1:6" ht="18" customHeight="1">
      <c r="A458" s="4" t="s">
        <v>14</v>
      </c>
      <c r="B458" s="4" t="str">
        <f>"2020031706"</f>
        <v>2020031706</v>
      </c>
      <c r="C458" s="5">
        <v>66.5</v>
      </c>
      <c r="D458" s="6">
        <v>71</v>
      </c>
      <c r="E458" s="7">
        <f t="shared" si="7"/>
        <v>137.5</v>
      </c>
      <c r="F458" s="8"/>
    </row>
    <row r="459" spans="1:6" ht="18" customHeight="1">
      <c r="A459" s="4" t="s">
        <v>14</v>
      </c>
      <c r="B459" s="4" t="str">
        <f>"2020012921"</f>
        <v>2020012921</v>
      </c>
      <c r="C459" s="5">
        <v>63.4</v>
      </c>
      <c r="D459" s="6">
        <v>74</v>
      </c>
      <c r="E459" s="7">
        <f t="shared" si="7"/>
        <v>137.4</v>
      </c>
      <c r="F459" s="8"/>
    </row>
    <row r="460" spans="1:6" ht="18" customHeight="1">
      <c r="A460" s="4" t="s">
        <v>14</v>
      </c>
      <c r="B460" s="4" t="str">
        <f>"2020021723"</f>
        <v>2020021723</v>
      </c>
      <c r="C460" s="5">
        <v>69.3</v>
      </c>
      <c r="D460" s="6">
        <v>68</v>
      </c>
      <c r="E460" s="7">
        <f t="shared" si="7"/>
        <v>137.30000000000001</v>
      </c>
      <c r="F460" s="8"/>
    </row>
    <row r="461" spans="1:6" ht="18" customHeight="1">
      <c r="A461" s="4" t="s">
        <v>14</v>
      </c>
      <c r="B461" s="4" t="str">
        <f>"2020046508"</f>
        <v>2020046508</v>
      </c>
      <c r="C461" s="5">
        <v>66.3</v>
      </c>
      <c r="D461" s="6">
        <v>71</v>
      </c>
      <c r="E461" s="7">
        <f t="shared" si="7"/>
        <v>137.30000000000001</v>
      </c>
      <c r="F461" s="8"/>
    </row>
    <row r="462" spans="1:6" ht="18" customHeight="1">
      <c r="A462" s="4" t="s">
        <v>14</v>
      </c>
      <c r="B462" s="4" t="str">
        <f>"2020022612"</f>
        <v>2020022612</v>
      </c>
      <c r="C462" s="5">
        <v>73.8</v>
      </c>
      <c r="D462" s="6">
        <v>63</v>
      </c>
      <c r="E462" s="7">
        <f t="shared" si="7"/>
        <v>136.80000000000001</v>
      </c>
      <c r="F462" s="8"/>
    </row>
    <row r="463" spans="1:6" ht="18" customHeight="1">
      <c r="A463" s="4" t="s">
        <v>14</v>
      </c>
      <c r="B463" s="4" t="str">
        <f>"2020021809"</f>
        <v>2020021809</v>
      </c>
      <c r="C463" s="5">
        <v>66.7</v>
      </c>
      <c r="D463" s="6">
        <v>69</v>
      </c>
      <c r="E463" s="7">
        <f t="shared" si="7"/>
        <v>135.69999999999999</v>
      </c>
      <c r="F463" s="8"/>
    </row>
    <row r="464" spans="1:6" ht="18" customHeight="1">
      <c r="A464" s="4" t="s">
        <v>14</v>
      </c>
      <c r="B464" s="4" t="str">
        <f>"2020021817"</f>
        <v>2020021817</v>
      </c>
      <c r="C464" s="5">
        <v>63.2</v>
      </c>
      <c r="D464" s="6">
        <v>72</v>
      </c>
      <c r="E464" s="7">
        <f t="shared" si="7"/>
        <v>135.19999999999999</v>
      </c>
      <c r="F464" s="8"/>
    </row>
    <row r="465" spans="1:6" ht="18" customHeight="1">
      <c r="A465" s="4" t="s">
        <v>14</v>
      </c>
      <c r="B465" s="4" t="str">
        <f>"2020047426"</f>
        <v>2020047426</v>
      </c>
      <c r="C465" s="5">
        <v>74.099999999999994</v>
      </c>
      <c r="D465" s="6">
        <v>61</v>
      </c>
      <c r="E465" s="7">
        <f t="shared" si="7"/>
        <v>135.1</v>
      </c>
      <c r="F465" s="8"/>
    </row>
    <row r="466" spans="1:6" ht="18" customHeight="1">
      <c r="A466" s="4" t="s">
        <v>14</v>
      </c>
      <c r="B466" s="4" t="str">
        <f>"2020046624"</f>
        <v>2020046624</v>
      </c>
      <c r="C466" s="5">
        <v>69.5</v>
      </c>
      <c r="D466" s="6">
        <v>65</v>
      </c>
      <c r="E466" s="7">
        <f t="shared" si="7"/>
        <v>134.5</v>
      </c>
      <c r="F466" s="8"/>
    </row>
    <row r="467" spans="1:6" ht="18" customHeight="1">
      <c r="A467" s="4" t="s">
        <v>14</v>
      </c>
      <c r="B467" s="4" t="str">
        <f>"2020033628"</f>
        <v>2020033628</v>
      </c>
      <c r="C467" s="5">
        <v>60.1</v>
      </c>
      <c r="D467" s="6">
        <v>74</v>
      </c>
      <c r="E467" s="7">
        <f t="shared" si="7"/>
        <v>134.1</v>
      </c>
      <c r="F467" s="8"/>
    </row>
    <row r="468" spans="1:6" ht="18" customHeight="1">
      <c r="A468" s="4" t="s">
        <v>14</v>
      </c>
      <c r="B468" s="4" t="str">
        <f>"2020045001"</f>
        <v>2020045001</v>
      </c>
      <c r="C468" s="5">
        <v>70.3</v>
      </c>
      <c r="D468" s="6">
        <v>63.5</v>
      </c>
      <c r="E468" s="7">
        <f t="shared" si="7"/>
        <v>133.80000000000001</v>
      </c>
      <c r="F468" s="8"/>
    </row>
    <row r="469" spans="1:6" ht="18" customHeight="1">
      <c r="A469" s="4" t="s">
        <v>14</v>
      </c>
      <c r="B469" s="4" t="str">
        <f>"2020032510"</f>
        <v>2020032510</v>
      </c>
      <c r="C469" s="5">
        <v>68.099999999999994</v>
      </c>
      <c r="D469" s="6">
        <v>65.5</v>
      </c>
      <c r="E469" s="7">
        <f t="shared" si="7"/>
        <v>133.6</v>
      </c>
      <c r="F469" s="8"/>
    </row>
    <row r="470" spans="1:6" ht="18" customHeight="1">
      <c r="A470" s="4" t="s">
        <v>14</v>
      </c>
      <c r="B470" s="4" t="str">
        <f>"2020044219"</f>
        <v>2020044219</v>
      </c>
      <c r="C470" s="5">
        <v>67.5</v>
      </c>
      <c r="D470" s="6">
        <v>66</v>
      </c>
      <c r="E470" s="7">
        <f t="shared" si="7"/>
        <v>133.5</v>
      </c>
      <c r="F470" s="8"/>
    </row>
    <row r="471" spans="1:6" ht="18" customHeight="1">
      <c r="A471" s="4" t="s">
        <v>14</v>
      </c>
      <c r="B471" s="4" t="str">
        <f>"2020031505"</f>
        <v>2020031505</v>
      </c>
      <c r="C471" s="5">
        <v>68.099999999999994</v>
      </c>
      <c r="D471" s="6">
        <v>65</v>
      </c>
      <c r="E471" s="7">
        <f t="shared" si="7"/>
        <v>133.1</v>
      </c>
      <c r="F471" s="8"/>
    </row>
    <row r="472" spans="1:6" ht="18" customHeight="1">
      <c r="A472" s="4" t="s">
        <v>14</v>
      </c>
      <c r="B472" s="4" t="str">
        <f>"2020030507"</f>
        <v>2020030507</v>
      </c>
      <c r="C472" s="5">
        <v>72.8</v>
      </c>
      <c r="D472" s="6">
        <v>60</v>
      </c>
      <c r="E472" s="7">
        <f t="shared" si="7"/>
        <v>132.80000000000001</v>
      </c>
      <c r="F472" s="8"/>
    </row>
    <row r="473" spans="1:6" ht="18" customHeight="1">
      <c r="A473" s="4" t="s">
        <v>14</v>
      </c>
      <c r="B473" s="4" t="str">
        <f>"2020047007"</f>
        <v>2020047007</v>
      </c>
      <c r="C473" s="5">
        <v>67.2</v>
      </c>
      <c r="D473" s="6">
        <v>65.5</v>
      </c>
      <c r="E473" s="7">
        <f t="shared" si="7"/>
        <v>132.69999999999999</v>
      </c>
      <c r="F473" s="8"/>
    </row>
    <row r="474" spans="1:6" ht="18" customHeight="1">
      <c r="A474" s="4" t="s">
        <v>14</v>
      </c>
      <c r="B474" s="4" t="str">
        <f>"2020030508"</f>
        <v>2020030508</v>
      </c>
      <c r="C474" s="5">
        <v>70.099999999999994</v>
      </c>
      <c r="D474" s="6">
        <v>62.5</v>
      </c>
      <c r="E474" s="7">
        <f t="shared" si="7"/>
        <v>132.6</v>
      </c>
      <c r="F474" s="8"/>
    </row>
    <row r="475" spans="1:6" ht="18" customHeight="1">
      <c r="A475" s="4" t="s">
        <v>14</v>
      </c>
      <c r="B475" s="4" t="str">
        <f>"2020046714"</f>
        <v>2020046714</v>
      </c>
      <c r="C475" s="5">
        <v>72.5</v>
      </c>
      <c r="D475" s="6">
        <v>59.5</v>
      </c>
      <c r="E475" s="7">
        <f t="shared" si="7"/>
        <v>132</v>
      </c>
      <c r="F475" s="8"/>
    </row>
    <row r="476" spans="1:6" ht="18" customHeight="1">
      <c r="A476" s="4" t="s">
        <v>14</v>
      </c>
      <c r="B476" s="4" t="str">
        <f>"2020046106"</f>
        <v>2020046106</v>
      </c>
      <c r="C476" s="5">
        <v>68</v>
      </c>
      <c r="D476" s="6">
        <v>64</v>
      </c>
      <c r="E476" s="7">
        <f t="shared" si="7"/>
        <v>132</v>
      </c>
      <c r="F476" s="8"/>
    </row>
    <row r="477" spans="1:6" ht="18" customHeight="1">
      <c r="A477" s="4" t="s">
        <v>14</v>
      </c>
      <c r="B477" s="4" t="str">
        <f>"2020044406"</f>
        <v>2020044406</v>
      </c>
      <c r="C477" s="5">
        <v>76.8</v>
      </c>
      <c r="D477" s="6">
        <v>55</v>
      </c>
      <c r="E477" s="7">
        <f t="shared" si="7"/>
        <v>131.80000000000001</v>
      </c>
      <c r="F477" s="8"/>
    </row>
    <row r="478" spans="1:6" ht="18" customHeight="1">
      <c r="A478" s="4" t="s">
        <v>14</v>
      </c>
      <c r="B478" s="4" t="str">
        <f>"2020021523"</f>
        <v>2020021523</v>
      </c>
      <c r="C478" s="5">
        <v>68</v>
      </c>
      <c r="D478" s="6">
        <v>63.5</v>
      </c>
      <c r="E478" s="7">
        <f t="shared" si="7"/>
        <v>131.5</v>
      </c>
      <c r="F478" s="8"/>
    </row>
    <row r="479" spans="1:6" ht="18" customHeight="1">
      <c r="A479" s="4" t="s">
        <v>14</v>
      </c>
      <c r="B479" s="4" t="str">
        <f>"2020013310"</f>
        <v>2020013310</v>
      </c>
      <c r="C479" s="5">
        <v>69.400000000000006</v>
      </c>
      <c r="D479" s="6">
        <v>62</v>
      </c>
      <c r="E479" s="7">
        <f t="shared" si="7"/>
        <v>131.4</v>
      </c>
      <c r="F479" s="8"/>
    </row>
    <row r="480" spans="1:6" ht="18" customHeight="1">
      <c r="A480" s="4" t="s">
        <v>14</v>
      </c>
      <c r="B480" s="4" t="str">
        <f>"2020040929"</f>
        <v>2020040929</v>
      </c>
      <c r="C480" s="5">
        <v>62</v>
      </c>
      <c r="D480" s="6">
        <v>69</v>
      </c>
      <c r="E480" s="7">
        <f t="shared" si="7"/>
        <v>131</v>
      </c>
      <c r="F480" s="8"/>
    </row>
    <row r="481" spans="1:6" ht="18" customHeight="1">
      <c r="A481" s="4" t="s">
        <v>14</v>
      </c>
      <c r="B481" s="4" t="str">
        <f>"2020031703"</f>
        <v>2020031703</v>
      </c>
      <c r="C481" s="5">
        <v>71.5</v>
      </c>
      <c r="D481" s="6">
        <v>59</v>
      </c>
      <c r="E481" s="7">
        <f t="shared" si="7"/>
        <v>130.5</v>
      </c>
      <c r="F481" s="8"/>
    </row>
    <row r="482" spans="1:6" ht="18" customHeight="1">
      <c r="A482" s="4" t="s">
        <v>14</v>
      </c>
      <c r="B482" s="4" t="str">
        <f>"2020041716"</f>
        <v>2020041716</v>
      </c>
      <c r="C482" s="5">
        <v>70.599999999999994</v>
      </c>
      <c r="D482" s="6">
        <v>58.5</v>
      </c>
      <c r="E482" s="7">
        <f t="shared" si="7"/>
        <v>129.1</v>
      </c>
      <c r="F482" s="8"/>
    </row>
    <row r="483" spans="1:6" ht="18" customHeight="1">
      <c r="A483" s="4" t="s">
        <v>14</v>
      </c>
      <c r="B483" s="4" t="str">
        <f>"2020010401"</f>
        <v>2020010401</v>
      </c>
      <c r="C483" s="5">
        <v>69.900000000000006</v>
      </c>
      <c r="D483" s="6">
        <v>59</v>
      </c>
      <c r="E483" s="7">
        <f t="shared" si="7"/>
        <v>128.9</v>
      </c>
      <c r="F483" s="8"/>
    </row>
    <row r="484" spans="1:6" ht="18" customHeight="1">
      <c r="A484" s="4" t="s">
        <v>14</v>
      </c>
      <c r="B484" s="4" t="str">
        <f>"2020044901"</f>
        <v>2020044901</v>
      </c>
      <c r="C484" s="5">
        <v>70.900000000000006</v>
      </c>
      <c r="D484" s="6">
        <v>57.5</v>
      </c>
      <c r="E484" s="7">
        <f t="shared" si="7"/>
        <v>128.4</v>
      </c>
      <c r="F484" s="8"/>
    </row>
    <row r="485" spans="1:6" ht="18" customHeight="1">
      <c r="A485" s="4" t="s">
        <v>14</v>
      </c>
      <c r="B485" s="4" t="str">
        <f>"2020012118"</f>
        <v>2020012118</v>
      </c>
      <c r="C485" s="5">
        <v>67.400000000000006</v>
      </c>
      <c r="D485" s="6">
        <v>61</v>
      </c>
      <c r="E485" s="7">
        <f t="shared" si="7"/>
        <v>128.4</v>
      </c>
      <c r="F485" s="8"/>
    </row>
    <row r="486" spans="1:6" ht="18" customHeight="1">
      <c r="A486" s="4" t="s">
        <v>14</v>
      </c>
      <c r="B486" s="4" t="str">
        <f>"2020041422"</f>
        <v>2020041422</v>
      </c>
      <c r="C486" s="5">
        <v>64.099999999999994</v>
      </c>
      <c r="D486" s="6">
        <v>64</v>
      </c>
      <c r="E486" s="7">
        <f t="shared" si="7"/>
        <v>128.1</v>
      </c>
      <c r="F486" s="8"/>
    </row>
    <row r="487" spans="1:6" ht="18" customHeight="1">
      <c r="A487" s="4" t="s">
        <v>14</v>
      </c>
      <c r="B487" s="4" t="str">
        <f>"2020042103"</f>
        <v>2020042103</v>
      </c>
      <c r="C487" s="5">
        <v>63.5</v>
      </c>
      <c r="D487" s="6">
        <v>64.5</v>
      </c>
      <c r="E487" s="7">
        <f t="shared" si="7"/>
        <v>128</v>
      </c>
      <c r="F487" s="8"/>
    </row>
    <row r="488" spans="1:6" ht="18" customHeight="1">
      <c r="A488" s="4" t="s">
        <v>14</v>
      </c>
      <c r="B488" s="4" t="str">
        <f>"2020041606"</f>
        <v>2020041606</v>
      </c>
      <c r="C488" s="5">
        <v>61</v>
      </c>
      <c r="D488" s="6">
        <v>67</v>
      </c>
      <c r="E488" s="7">
        <f t="shared" si="7"/>
        <v>128</v>
      </c>
      <c r="F488" s="8"/>
    </row>
    <row r="489" spans="1:6" ht="18" customHeight="1">
      <c r="A489" s="4" t="s">
        <v>14</v>
      </c>
      <c r="B489" s="4" t="str">
        <f>"2020030717"</f>
        <v>2020030717</v>
      </c>
      <c r="C489" s="5">
        <v>75.8</v>
      </c>
      <c r="D489" s="6">
        <v>52</v>
      </c>
      <c r="E489" s="7">
        <f t="shared" si="7"/>
        <v>127.8</v>
      </c>
      <c r="F489" s="8"/>
    </row>
    <row r="490" spans="1:6" ht="18" customHeight="1">
      <c r="A490" s="4" t="s">
        <v>14</v>
      </c>
      <c r="B490" s="4" t="str">
        <f>"2020033306"</f>
        <v>2020033306</v>
      </c>
      <c r="C490" s="5">
        <v>64.599999999999994</v>
      </c>
      <c r="D490" s="6">
        <v>62</v>
      </c>
      <c r="E490" s="7">
        <f t="shared" si="7"/>
        <v>126.6</v>
      </c>
      <c r="F490" s="8"/>
    </row>
    <row r="491" spans="1:6" ht="18" customHeight="1">
      <c r="A491" s="4" t="s">
        <v>14</v>
      </c>
      <c r="B491" s="4" t="str">
        <f>"2020022117"</f>
        <v>2020022117</v>
      </c>
      <c r="C491" s="5">
        <v>65.5</v>
      </c>
      <c r="D491" s="6">
        <v>61</v>
      </c>
      <c r="E491" s="7">
        <f t="shared" si="7"/>
        <v>126.5</v>
      </c>
      <c r="F491" s="8"/>
    </row>
    <row r="492" spans="1:6" ht="18" customHeight="1">
      <c r="A492" s="4" t="s">
        <v>14</v>
      </c>
      <c r="B492" s="4" t="str">
        <f>"2020011425"</f>
        <v>2020011425</v>
      </c>
      <c r="C492" s="5">
        <v>66</v>
      </c>
      <c r="D492" s="6">
        <v>60</v>
      </c>
      <c r="E492" s="7">
        <f t="shared" si="7"/>
        <v>126</v>
      </c>
      <c r="F492" s="8"/>
    </row>
    <row r="493" spans="1:6" ht="18" customHeight="1">
      <c r="A493" s="4" t="s">
        <v>14</v>
      </c>
      <c r="B493" s="4" t="str">
        <f>"2020023227"</f>
        <v>2020023227</v>
      </c>
      <c r="C493" s="5">
        <v>70.8</v>
      </c>
      <c r="D493" s="6">
        <v>55</v>
      </c>
      <c r="E493" s="7">
        <f t="shared" si="7"/>
        <v>125.8</v>
      </c>
      <c r="F493" s="8"/>
    </row>
    <row r="494" spans="1:6" ht="18" customHeight="1">
      <c r="A494" s="4" t="s">
        <v>14</v>
      </c>
      <c r="B494" s="4" t="str">
        <f>"2020030103"</f>
        <v>2020030103</v>
      </c>
      <c r="C494" s="5">
        <v>71.599999999999994</v>
      </c>
      <c r="D494" s="6">
        <v>54</v>
      </c>
      <c r="E494" s="7">
        <f t="shared" si="7"/>
        <v>125.6</v>
      </c>
      <c r="F494" s="8"/>
    </row>
    <row r="495" spans="1:6" ht="18" customHeight="1">
      <c r="A495" s="4" t="s">
        <v>14</v>
      </c>
      <c r="B495" s="4" t="str">
        <f>"2020023829"</f>
        <v>2020023829</v>
      </c>
      <c r="C495" s="5">
        <v>64.099999999999994</v>
      </c>
      <c r="D495" s="6">
        <v>61</v>
      </c>
      <c r="E495" s="7">
        <f t="shared" si="7"/>
        <v>125.1</v>
      </c>
      <c r="F495" s="8"/>
    </row>
    <row r="496" spans="1:6" ht="18" customHeight="1">
      <c r="A496" s="4" t="s">
        <v>14</v>
      </c>
      <c r="B496" s="4" t="str">
        <f>"2020045805"</f>
        <v>2020045805</v>
      </c>
      <c r="C496" s="5">
        <v>66.3</v>
      </c>
      <c r="D496" s="6">
        <v>58.5</v>
      </c>
      <c r="E496" s="7">
        <f t="shared" si="7"/>
        <v>124.8</v>
      </c>
      <c r="F496" s="8"/>
    </row>
    <row r="497" spans="1:6" ht="18" customHeight="1">
      <c r="A497" s="4" t="s">
        <v>14</v>
      </c>
      <c r="B497" s="4" t="str">
        <f>"2020042128"</f>
        <v>2020042128</v>
      </c>
      <c r="C497" s="5">
        <v>58.8</v>
      </c>
      <c r="D497" s="6">
        <v>66</v>
      </c>
      <c r="E497" s="7">
        <f t="shared" si="7"/>
        <v>124.8</v>
      </c>
      <c r="F497" s="8"/>
    </row>
    <row r="498" spans="1:6" ht="18" customHeight="1">
      <c r="A498" s="4" t="s">
        <v>14</v>
      </c>
      <c r="B498" s="4" t="str">
        <f>"2020022714"</f>
        <v>2020022714</v>
      </c>
      <c r="C498" s="5">
        <v>65.7</v>
      </c>
      <c r="D498" s="6">
        <v>58.5</v>
      </c>
      <c r="E498" s="7">
        <f t="shared" si="7"/>
        <v>124.2</v>
      </c>
      <c r="F498" s="8"/>
    </row>
    <row r="499" spans="1:6" ht="18" customHeight="1">
      <c r="A499" s="4" t="s">
        <v>14</v>
      </c>
      <c r="B499" s="4" t="str">
        <f>"2020041629"</f>
        <v>2020041629</v>
      </c>
      <c r="C499" s="5">
        <v>61.1</v>
      </c>
      <c r="D499" s="6">
        <v>63</v>
      </c>
      <c r="E499" s="7">
        <f t="shared" si="7"/>
        <v>124.1</v>
      </c>
      <c r="F499" s="8"/>
    </row>
    <row r="500" spans="1:6" ht="18" customHeight="1">
      <c r="A500" s="4" t="s">
        <v>14</v>
      </c>
      <c r="B500" s="4" t="str">
        <f>"2020030727"</f>
        <v>2020030727</v>
      </c>
      <c r="C500" s="5">
        <v>65.5</v>
      </c>
      <c r="D500" s="6">
        <v>58.5</v>
      </c>
      <c r="E500" s="7">
        <f t="shared" si="7"/>
        <v>124</v>
      </c>
      <c r="F500" s="8"/>
    </row>
    <row r="501" spans="1:6" ht="18" customHeight="1">
      <c r="A501" s="4" t="s">
        <v>14</v>
      </c>
      <c r="B501" s="4" t="str">
        <f>"2020024413"</f>
        <v>2020024413</v>
      </c>
      <c r="C501" s="5">
        <v>64</v>
      </c>
      <c r="D501" s="6">
        <v>60</v>
      </c>
      <c r="E501" s="7">
        <f t="shared" si="7"/>
        <v>124</v>
      </c>
      <c r="F501" s="8"/>
    </row>
    <row r="502" spans="1:6" ht="18" customHeight="1">
      <c r="A502" s="4" t="s">
        <v>14</v>
      </c>
      <c r="B502" s="4" t="str">
        <f>"2020023319"</f>
        <v>2020023319</v>
      </c>
      <c r="C502" s="5">
        <v>64.099999999999994</v>
      </c>
      <c r="D502" s="6">
        <v>59.5</v>
      </c>
      <c r="E502" s="7">
        <f t="shared" si="7"/>
        <v>123.6</v>
      </c>
      <c r="F502" s="8"/>
    </row>
    <row r="503" spans="1:6" ht="18" customHeight="1">
      <c r="A503" s="4" t="s">
        <v>14</v>
      </c>
      <c r="B503" s="4" t="str">
        <f>"2020033802"</f>
        <v>2020033802</v>
      </c>
      <c r="C503" s="5">
        <v>62.7</v>
      </c>
      <c r="D503" s="6">
        <v>60.5</v>
      </c>
      <c r="E503" s="7">
        <f t="shared" si="7"/>
        <v>123.2</v>
      </c>
      <c r="F503" s="8"/>
    </row>
    <row r="504" spans="1:6" ht="18" customHeight="1">
      <c r="A504" s="4" t="s">
        <v>14</v>
      </c>
      <c r="B504" s="4" t="str">
        <f>"2020023020"</f>
        <v>2020023020</v>
      </c>
      <c r="C504" s="5">
        <v>63.9</v>
      </c>
      <c r="D504" s="6">
        <v>59</v>
      </c>
      <c r="E504" s="7">
        <f t="shared" si="7"/>
        <v>122.9</v>
      </c>
      <c r="F504" s="8"/>
    </row>
    <row r="505" spans="1:6" ht="18" customHeight="1">
      <c r="A505" s="4" t="s">
        <v>14</v>
      </c>
      <c r="B505" s="4" t="str">
        <f>"2020046108"</f>
        <v>2020046108</v>
      </c>
      <c r="C505" s="5">
        <v>64.8</v>
      </c>
      <c r="D505" s="6">
        <v>57</v>
      </c>
      <c r="E505" s="7">
        <f t="shared" si="7"/>
        <v>121.8</v>
      </c>
      <c r="F505" s="8"/>
    </row>
    <row r="506" spans="1:6" ht="18" customHeight="1">
      <c r="A506" s="4" t="s">
        <v>14</v>
      </c>
      <c r="B506" s="4" t="str">
        <f>"2020044904"</f>
        <v>2020044904</v>
      </c>
      <c r="C506" s="5">
        <v>63.2</v>
      </c>
      <c r="D506" s="6">
        <v>57.5</v>
      </c>
      <c r="E506" s="7">
        <f t="shared" si="7"/>
        <v>120.7</v>
      </c>
      <c r="F506" s="8"/>
    </row>
    <row r="507" spans="1:6" ht="18" customHeight="1">
      <c r="A507" s="4" t="s">
        <v>14</v>
      </c>
      <c r="B507" s="4" t="str">
        <f>"2020013704"</f>
        <v>2020013704</v>
      </c>
      <c r="C507" s="5">
        <v>71</v>
      </c>
      <c r="D507" s="6">
        <v>49.5</v>
      </c>
      <c r="E507" s="7">
        <f t="shared" si="7"/>
        <v>120.5</v>
      </c>
      <c r="F507" s="8"/>
    </row>
    <row r="508" spans="1:6" ht="18" customHeight="1">
      <c r="A508" s="4" t="s">
        <v>14</v>
      </c>
      <c r="B508" s="4" t="str">
        <f>"2020033510"</f>
        <v>2020033510</v>
      </c>
      <c r="C508" s="5">
        <v>67.400000000000006</v>
      </c>
      <c r="D508" s="6">
        <v>53</v>
      </c>
      <c r="E508" s="7">
        <f t="shared" si="7"/>
        <v>120.4</v>
      </c>
      <c r="F508" s="8"/>
    </row>
    <row r="509" spans="1:6" ht="18" customHeight="1">
      <c r="A509" s="4" t="s">
        <v>14</v>
      </c>
      <c r="B509" s="4" t="str">
        <f>"2020046129"</f>
        <v>2020046129</v>
      </c>
      <c r="C509" s="5">
        <v>64.8</v>
      </c>
      <c r="D509" s="6">
        <v>55</v>
      </c>
      <c r="E509" s="7">
        <f t="shared" si="7"/>
        <v>119.8</v>
      </c>
      <c r="F509" s="8"/>
    </row>
    <row r="510" spans="1:6" ht="18" customHeight="1">
      <c r="A510" s="4" t="s">
        <v>14</v>
      </c>
      <c r="B510" s="4" t="str">
        <f>"2020024823"</f>
        <v>2020024823</v>
      </c>
      <c r="C510" s="5">
        <v>56.3</v>
      </c>
      <c r="D510" s="6">
        <v>63.5</v>
      </c>
      <c r="E510" s="7">
        <f t="shared" si="7"/>
        <v>119.8</v>
      </c>
      <c r="F510" s="8"/>
    </row>
    <row r="511" spans="1:6" ht="18" customHeight="1">
      <c r="A511" s="4" t="s">
        <v>14</v>
      </c>
      <c r="B511" s="4" t="str">
        <f>"2020023415"</f>
        <v>2020023415</v>
      </c>
      <c r="C511" s="5">
        <v>55.8</v>
      </c>
      <c r="D511" s="6">
        <v>64</v>
      </c>
      <c r="E511" s="7">
        <f t="shared" si="7"/>
        <v>119.8</v>
      </c>
      <c r="F511" s="8"/>
    </row>
    <row r="512" spans="1:6" ht="18" customHeight="1">
      <c r="A512" s="4" t="s">
        <v>14</v>
      </c>
      <c r="B512" s="4" t="str">
        <f>"2020013611"</f>
        <v>2020013611</v>
      </c>
      <c r="C512" s="5">
        <v>65.5</v>
      </c>
      <c r="D512" s="6">
        <v>53</v>
      </c>
      <c r="E512" s="7">
        <f t="shared" si="7"/>
        <v>118.5</v>
      </c>
      <c r="F512" s="8"/>
    </row>
    <row r="513" spans="1:6" ht="18" customHeight="1">
      <c r="A513" s="4" t="s">
        <v>14</v>
      </c>
      <c r="B513" s="4" t="str">
        <f>"2020040904"</f>
        <v>2020040904</v>
      </c>
      <c r="C513" s="5">
        <v>59.1</v>
      </c>
      <c r="D513" s="6">
        <v>59</v>
      </c>
      <c r="E513" s="7">
        <f t="shared" si="7"/>
        <v>118.1</v>
      </c>
      <c r="F513" s="8"/>
    </row>
    <row r="514" spans="1:6" ht="18" customHeight="1">
      <c r="A514" s="4" t="s">
        <v>14</v>
      </c>
      <c r="B514" s="4" t="str">
        <f>"2020010618"</f>
        <v>2020010618</v>
      </c>
      <c r="C514" s="5">
        <v>61.1</v>
      </c>
      <c r="D514" s="6">
        <v>55.5</v>
      </c>
      <c r="E514" s="7">
        <f t="shared" si="7"/>
        <v>116.6</v>
      </c>
      <c r="F514" s="8"/>
    </row>
    <row r="515" spans="1:6" ht="18" customHeight="1">
      <c r="A515" s="4" t="s">
        <v>14</v>
      </c>
      <c r="B515" s="4" t="str">
        <f>"2020010126"</f>
        <v>2020010126</v>
      </c>
      <c r="C515" s="5">
        <v>60.4</v>
      </c>
      <c r="D515" s="6">
        <v>56</v>
      </c>
      <c r="E515" s="7">
        <f t="shared" ref="E515:E578" si="8">SUM(C515:D515)</f>
        <v>116.4</v>
      </c>
      <c r="F515" s="8"/>
    </row>
    <row r="516" spans="1:6" ht="18" customHeight="1">
      <c r="A516" s="4" t="s">
        <v>14</v>
      </c>
      <c r="B516" s="4" t="str">
        <f>"2020031810"</f>
        <v>2020031810</v>
      </c>
      <c r="C516" s="5">
        <v>55.2</v>
      </c>
      <c r="D516" s="6">
        <v>61</v>
      </c>
      <c r="E516" s="7">
        <f t="shared" si="8"/>
        <v>116.2</v>
      </c>
      <c r="F516" s="8"/>
    </row>
    <row r="517" spans="1:6" ht="18" customHeight="1">
      <c r="A517" s="4" t="s">
        <v>14</v>
      </c>
      <c r="B517" s="4" t="str">
        <f>"2020030619"</f>
        <v>2020030619</v>
      </c>
      <c r="C517" s="5">
        <v>59.9</v>
      </c>
      <c r="D517" s="6">
        <v>55.5</v>
      </c>
      <c r="E517" s="7">
        <f t="shared" si="8"/>
        <v>115.4</v>
      </c>
      <c r="F517" s="8"/>
    </row>
    <row r="518" spans="1:6" ht="18" customHeight="1">
      <c r="A518" s="4" t="s">
        <v>14</v>
      </c>
      <c r="B518" s="4" t="str">
        <f>"2020022719"</f>
        <v>2020022719</v>
      </c>
      <c r="C518" s="5">
        <v>66.599999999999994</v>
      </c>
      <c r="D518" s="6">
        <v>48</v>
      </c>
      <c r="E518" s="7">
        <f t="shared" si="8"/>
        <v>114.6</v>
      </c>
      <c r="F518" s="8"/>
    </row>
    <row r="519" spans="1:6" ht="18" customHeight="1">
      <c r="A519" s="4" t="s">
        <v>14</v>
      </c>
      <c r="B519" s="4" t="str">
        <f>"2020032418"</f>
        <v>2020032418</v>
      </c>
      <c r="C519" s="5">
        <v>63.4</v>
      </c>
      <c r="D519" s="6">
        <v>51</v>
      </c>
      <c r="E519" s="7">
        <f t="shared" si="8"/>
        <v>114.4</v>
      </c>
      <c r="F519" s="8"/>
    </row>
    <row r="520" spans="1:6" ht="18" customHeight="1">
      <c r="A520" s="4" t="s">
        <v>14</v>
      </c>
      <c r="B520" s="4" t="str">
        <f>"2020040812"</f>
        <v>2020040812</v>
      </c>
      <c r="C520" s="5">
        <v>65.2</v>
      </c>
      <c r="D520" s="6">
        <v>48.5</v>
      </c>
      <c r="E520" s="7">
        <f t="shared" si="8"/>
        <v>113.7</v>
      </c>
      <c r="F520" s="8"/>
    </row>
    <row r="521" spans="1:6" ht="18" customHeight="1">
      <c r="A521" s="4" t="s">
        <v>14</v>
      </c>
      <c r="B521" s="4" t="str">
        <f>"2020031522"</f>
        <v>2020031522</v>
      </c>
      <c r="C521" s="5">
        <v>64.7</v>
      </c>
      <c r="D521" s="6">
        <v>48</v>
      </c>
      <c r="E521" s="7">
        <f t="shared" si="8"/>
        <v>112.7</v>
      </c>
      <c r="F521" s="8"/>
    </row>
    <row r="522" spans="1:6" ht="18" customHeight="1">
      <c r="A522" s="4" t="s">
        <v>14</v>
      </c>
      <c r="B522" s="4" t="str">
        <f>"2020044615"</f>
        <v>2020044615</v>
      </c>
      <c r="C522" s="5">
        <v>57.9</v>
      </c>
      <c r="D522" s="6">
        <v>50</v>
      </c>
      <c r="E522" s="7">
        <f t="shared" si="8"/>
        <v>107.9</v>
      </c>
      <c r="F522" s="8"/>
    </row>
    <row r="523" spans="1:6" ht="18" customHeight="1">
      <c r="A523" s="4" t="s">
        <v>14</v>
      </c>
      <c r="B523" s="4" t="str">
        <f>"2020046709"</f>
        <v>2020046709</v>
      </c>
      <c r="C523" s="5">
        <v>57.5</v>
      </c>
      <c r="D523" s="6">
        <v>46.5</v>
      </c>
      <c r="E523" s="7">
        <f t="shared" si="8"/>
        <v>104</v>
      </c>
      <c r="F523" s="8"/>
    </row>
    <row r="524" spans="1:6" ht="18" customHeight="1">
      <c r="A524" s="4" t="s">
        <v>14</v>
      </c>
      <c r="B524" s="4" t="str">
        <f>"2020045429"</f>
        <v>2020045429</v>
      </c>
      <c r="C524" s="5">
        <v>40</v>
      </c>
      <c r="D524" s="6">
        <v>39</v>
      </c>
      <c r="E524" s="7">
        <f t="shared" si="8"/>
        <v>79</v>
      </c>
      <c r="F524" s="8"/>
    </row>
    <row r="525" spans="1:6" ht="18" customHeight="1">
      <c r="A525" s="4" t="s">
        <v>14</v>
      </c>
      <c r="B525" s="4" t="str">
        <f>"2020010211"</f>
        <v>2020010211</v>
      </c>
      <c r="C525" s="5">
        <v>0</v>
      </c>
      <c r="D525" s="6">
        <v>0</v>
      </c>
      <c r="E525" s="7">
        <f t="shared" si="8"/>
        <v>0</v>
      </c>
      <c r="F525" s="9" t="s">
        <v>8</v>
      </c>
    </row>
    <row r="526" spans="1:6" ht="18" customHeight="1">
      <c r="A526" s="4" t="s">
        <v>14</v>
      </c>
      <c r="B526" s="4" t="str">
        <f>"2020010810"</f>
        <v>2020010810</v>
      </c>
      <c r="C526" s="5">
        <v>0</v>
      </c>
      <c r="D526" s="6">
        <v>0</v>
      </c>
      <c r="E526" s="7">
        <f t="shared" si="8"/>
        <v>0</v>
      </c>
      <c r="F526" s="9" t="s">
        <v>8</v>
      </c>
    </row>
    <row r="527" spans="1:6" ht="18" customHeight="1">
      <c r="A527" s="4" t="s">
        <v>14</v>
      </c>
      <c r="B527" s="4" t="str">
        <f>"2020010906"</f>
        <v>2020010906</v>
      </c>
      <c r="C527" s="5">
        <v>0</v>
      </c>
      <c r="D527" s="6">
        <v>0</v>
      </c>
      <c r="E527" s="7">
        <f t="shared" si="8"/>
        <v>0</v>
      </c>
      <c r="F527" s="9" t="s">
        <v>8</v>
      </c>
    </row>
    <row r="528" spans="1:6" ht="18" customHeight="1">
      <c r="A528" s="4" t="s">
        <v>14</v>
      </c>
      <c r="B528" s="4" t="str">
        <f>"2020011009"</f>
        <v>2020011009</v>
      </c>
      <c r="C528" s="5">
        <v>0</v>
      </c>
      <c r="D528" s="6">
        <v>0</v>
      </c>
      <c r="E528" s="7">
        <f t="shared" si="8"/>
        <v>0</v>
      </c>
      <c r="F528" s="9" t="s">
        <v>8</v>
      </c>
    </row>
    <row r="529" spans="1:6" ht="18" customHeight="1">
      <c r="A529" s="4" t="s">
        <v>14</v>
      </c>
      <c r="B529" s="4" t="str">
        <f>"2020011416"</f>
        <v>2020011416</v>
      </c>
      <c r="C529" s="5">
        <v>0</v>
      </c>
      <c r="D529" s="6">
        <v>0</v>
      </c>
      <c r="E529" s="7">
        <f t="shared" si="8"/>
        <v>0</v>
      </c>
      <c r="F529" s="9" t="s">
        <v>8</v>
      </c>
    </row>
    <row r="530" spans="1:6" ht="18" customHeight="1">
      <c r="A530" s="4" t="s">
        <v>14</v>
      </c>
      <c r="B530" s="4" t="str">
        <f>"2020011827"</f>
        <v>2020011827</v>
      </c>
      <c r="C530" s="5">
        <v>0</v>
      </c>
      <c r="D530" s="6">
        <v>0</v>
      </c>
      <c r="E530" s="7">
        <f t="shared" si="8"/>
        <v>0</v>
      </c>
      <c r="F530" s="9" t="s">
        <v>8</v>
      </c>
    </row>
    <row r="531" spans="1:6" ht="18" customHeight="1">
      <c r="A531" s="4" t="s">
        <v>14</v>
      </c>
      <c r="B531" s="4" t="str">
        <f>"2020012602"</f>
        <v>2020012602</v>
      </c>
      <c r="C531" s="5">
        <v>0</v>
      </c>
      <c r="D531" s="6">
        <v>0</v>
      </c>
      <c r="E531" s="7">
        <f t="shared" si="8"/>
        <v>0</v>
      </c>
      <c r="F531" s="9" t="s">
        <v>8</v>
      </c>
    </row>
    <row r="532" spans="1:6" ht="18" customHeight="1">
      <c r="A532" s="4" t="s">
        <v>14</v>
      </c>
      <c r="B532" s="4" t="str">
        <f>"2020012930"</f>
        <v>2020012930</v>
      </c>
      <c r="C532" s="5">
        <v>0</v>
      </c>
      <c r="D532" s="6">
        <v>0</v>
      </c>
      <c r="E532" s="7">
        <f t="shared" si="8"/>
        <v>0</v>
      </c>
      <c r="F532" s="9" t="s">
        <v>8</v>
      </c>
    </row>
    <row r="533" spans="1:6" ht="18" customHeight="1">
      <c r="A533" s="4" t="s">
        <v>14</v>
      </c>
      <c r="B533" s="4" t="str">
        <f>"2020013011"</f>
        <v>2020013011</v>
      </c>
      <c r="C533" s="5">
        <v>0</v>
      </c>
      <c r="D533" s="6">
        <v>0</v>
      </c>
      <c r="E533" s="7">
        <f t="shared" si="8"/>
        <v>0</v>
      </c>
      <c r="F533" s="9" t="s">
        <v>8</v>
      </c>
    </row>
    <row r="534" spans="1:6" ht="18" customHeight="1">
      <c r="A534" s="4" t="s">
        <v>14</v>
      </c>
      <c r="B534" s="4" t="str">
        <f>"2020013030"</f>
        <v>2020013030</v>
      </c>
      <c r="C534" s="5">
        <v>0</v>
      </c>
      <c r="D534" s="6">
        <v>0</v>
      </c>
      <c r="E534" s="7">
        <f t="shared" si="8"/>
        <v>0</v>
      </c>
      <c r="F534" s="9" t="s">
        <v>8</v>
      </c>
    </row>
    <row r="535" spans="1:6" ht="18" customHeight="1">
      <c r="A535" s="4" t="s">
        <v>14</v>
      </c>
      <c r="B535" s="4" t="str">
        <f>"2020013924"</f>
        <v>2020013924</v>
      </c>
      <c r="C535" s="5">
        <v>0</v>
      </c>
      <c r="D535" s="6">
        <v>0</v>
      </c>
      <c r="E535" s="7">
        <f t="shared" si="8"/>
        <v>0</v>
      </c>
      <c r="F535" s="9" t="s">
        <v>8</v>
      </c>
    </row>
    <row r="536" spans="1:6" ht="18" customHeight="1">
      <c r="A536" s="4" t="s">
        <v>14</v>
      </c>
      <c r="B536" s="4" t="str">
        <f>"2020020329"</f>
        <v>2020020329</v>
      </c>
      <c r="C536" s="5">
        <v>0</v>
      </c>
      <c r="D536" s="6">
        <v>0</v>
      </c>
      <c r="E536" s="7">
        <f t="shared" si="8"/>
        <v>0</v>
      </c>
      <c r="F536" s="8" t="s">
        <v>8</v>
      </c>
    </row>
    <row r="537" spans="1:6" ht="18" customHeight="1">
      <c r="A537" s="4" t="s">
        <v>14</v>
      </c>
      <c r="B537" s="4" t="str">
        <f>"2020024327"</f>
        <v>2020024327</v>
      </c>
      <c r="C537" s="5">
        <v>0</v>
      </c>
      <c r="D537" s="6">
        <v>0</v>
      </c>
      <c r="E537" s="7">
        <f t="shared" si="8"/>
        <v>0</v>
      </c>
      <c r="F537" s="8" t="s">
        <v>8</v>
      </c>
    </row>
    <row r="538" spans="1:6" ht="18" customHeight="1">
      <c r="A538" s="4" t="s">
        <v>14</v>
      </c>
      <c r="B538" s="4" t="str">
        <f>"2020024606"</f>
        <v>2020024606</v>
      </c>
      <c r="C538" s="5">
        <v>0</v>
      </c>
      <c r="D538" s="6">
        <v>0</v>
      </c>
      <c r="E538" s="7">
        <f t="shared" si="8"/>
        <v>0</v>
      </c>
      <c r="F538" s="8" t="s">
        <v>8</v>
      </c>
    </row>
    <row r="539" spans="1:6" ht="18" customHeight="1">
      <c r="A539" s="4" t="s">
        <v>14</v>
      </c>
      <c r="B539" s="4" t="str">
        <f>"2020030116"</f>
        <v>2020030116</v>
      </c>
      <c r="C539" s="5">
        <v>0</v>
      </c>
      <c r="D539" s="6">
        <v>0</v>
      </c>
      <c r="E539" s="7">
        <f t="shared" si="8"/>
        <v>0</v>
      </c>
      <c r="F539" s="8" t="s">
        <v>8</v>
      </c>
    </row>
    <row r="540" spans="1:6" ht="18" customHeight="1">
      <c r="A540" s="4" t="s">
        <v>14</v>
      </c>
      <c r="B540" s="4" t="str">
        <f>"2020030510"</f>
        <v>2020030510</v>
      </c>
      <c r="C540" s="5">
        <v>0</v>
      </c>
      <c r="D540" s="6">
        <v>0</v>
      </c>
      <c r="E540" s="7">
        <f t="shared" si="8"/>
        <v>0</v>
      </c>
      <c r="F540" s="8" t="s">
        <v>8</v>
      </c>
    </row>
    <row r="541" spans="1:6" ht="18" customHeight="1">
      <c r="A541" s="4" t="s">
        <v>14</v>
      </c>
      <c r="B541" s="4" t="str">
        <f>"2020030719"</f>
        <v>2020030719</v>
      </c>
      <c r="C541" s="5">
        <v>0</v>
      </c>
      <c r="D541" s="6">
        <v>0</v>
      </c>
      <c r="E541" s="7">
        <f t="shared" si="8"/>
        <v>0</v>
      </c>
      <c r="F541" s="8" t="s">
        <v>8</v>
      </c>
    </row>
    <row r="542" spans="1:6" ht="18" customHeight="1">
      <c r="A542" s="4" t="s">
        <v>14</v>
      </c>
      <c r="B542" s="4" t="str">
        <f>"2020031214"</f>
        <v>2020031214</v>
      </c>
      <c r="C542" s="5">
        <v>0</v>
      </c>
      <c r="D542" s="6">
        <v>0</v>
      </c>
      <c r="E542" s="7">
        <f t="shared" si="8"/>
        <v>0</v>
      </c>
      <c r="F542" s="8" t="s">
        <v>8</v>
      </c>
    </row>
    <row r="543" spans="1:6" ht="18" customHeight="1">
      <c r="A543" s="4" t="s">
        <v>14</v>
      </c>
      <c r="B543" s="4" t="str">
        <f>"2020031223"</f>
        <v>2020031223</v>
      </c>
      <c r="C543" s="5">
        <v>0</v>
      </c>
      <c r="D543" s="6">
        <v>0</v>
      </c>
      <c r="E543" s="7">
        <f t="shared" si="8"/>
        <v>0</v>
      </c>
      <c r="F543" s="8" t="s">
        <v>8</v>
      </c>
    </row>
    <row r="544" spans="1:6" ht="18" customHeight="1">
      <c r="A544" s="4" t="s">
        <v>14</v>
      </c>
      <c r="B544" s="4" t="str">
        <f>"2020032218"</f>
        <v>2020032218</v>
      </c>
      <c r="C544" s="5">
        <v>0</v>
      </c>
      <c r="D544" s="6">
        <v>0</v>
      </c>
      <c r="E544" s="7">
        <f t="shared" si="8"/>
        <v>0</v>
      </c>
      <c r="F544" s="8" t="s">
        <v>8</v>
      </c>
    </row>
    <row r="545" spans="1:6" ht="18" customHeight="1">
      <c r="A545" s="4" t="s">
        <v>14</v>
      </c>
      <c r="B545" s="4" t="str">
        <f>"2020032715"</f>
        <v>2020032715</v>
      </c>
      <c r="C545" s="5">
        <v>0</v>
      </c>
      <c r="D545" s="6">
        <v>0</v>
      </c>
      <c r="E545" s="7">
        <f t="shared" si="8"/>
        <v>0</v>
      </c>
      <c r="F545" s="8" t="s">
        <v>8</v>
      </c>
    </row>
    <row r="546" spans="1:6" ht="18" customHeight="1">
      <c r="A546" s="4" t="s">
        <v>14</v>
      </c>
      <c r="B546" s="4" t="str">
        <f>"2020033016"</f>
        <v>2020033016</v>
      </c>
      <c r="C546" s="5">
        <v>0</v>
      </c>
      <c r="D546" s="6">
        <v>0</v>
      </c>
      <c r="E546" s="7">
        <f t="shared" si="8"/>
        <v>0</v>
      </c>
      <c r="F546" s="8" t="s">
        <v>8</v>
      </c>
    </row>
    <row r="547" spans="1:6" ht="18" customHeight="1">
      <c r="A547" s="4" t="s">
        <v>14</v>
      </c>
      <c r="B547" s="4" t="str">
        <f>"2020040915"</f>
        <v>2020040915</v>
      </c>
      <c r="C547" s="5">
        <v>0</v>
      </c>
      <c r="D547" s="6">
        <v>0</v>
      </c>
      <c r="E547" s="7">
        <f t="shared" si="8"/>
        <v>0</v>
      </c>
      <c r="F547" s="8" t="s">
        <v>8</v>
      </c>
    </row>
    <row r="548" spans="1:6" ht="18" customHeight="1">
      <c r="A548" s="4" t="s">
        <v>14</v>
      </c>
      <c r="B548" s="4" t="str">
        <f>"2020041026"</f>
        <v>2020041026</v>
      </c>
      <c r="C548" s="5">
        <v>0</v>
      </c>
      <c r="D548" s="6">
        <v>0</v>
      </c>
      <c r="E548" s="7">
        <f t="shared" si="8"/>
        <v>0</v>
      </c>
      <c r="F548" s="8" t="s">
        <v>8</v>
      </c>
    </row>
    <row r="549" spans="1:6" ht="18" customHeight="1">
      <c r="A549" s="4" t="s">
        <v>14</v>
      </c>
      <c r="B549" s="4" t="str">
        <f>"2020041426"</f>
        <v>2020041426</v>
      </c>
      <c r="C549" s="5">
        <v>0</v>
      </c>
      <c r="D549" s="6">
        <v>0</v>
      </c>
      <c r="E549" s="7">
        <f t="shared" si="8"/>
        <v>0</v>
      </c>
      <c r="F549" s="8" t="s">
        <v>8</v>
      </c>
    </row>
    <row r="550" spans="1:6" ht="18" customHeight="1">
      <c r="A550" s="4" t="s">
        <v>14</v>
      </c>
      <c r="B550" s="4" t="str">
        <f>"2020041910"</f>
        <v>2020041910</v>
      </c>
      <c r="C550" s="5">
        <v>0</v>
      </c>
      <c r="D550" s="6">
        <v>0</v>
      </c>
      <c r="E550" s="7">
        <f t="shared" si="8"/>
        <v>0</v>
      </c>
      <c r="F550" s="8" t="s">
        <v>8</v>
      </c>
    </row>
    <row r="551" spans="1:6" ht="18" customHeight="1">
      <c r="A551" s="4" t="s">
        <v>14</v>
      </c>
      <c r="B551" s="4" t="str">
        <f>"2020042601"</f>
        <v>2020042601</v>
      </c>
      <c r="C551" s="5">
        <v>0</v>
      </c>
      <c r="D551" s="6">
        <v>0</v>
      </c>
      <c r="E551" s="7">
        <f t="shared" si="8"/>
        <v>0</v>
      </c>
      <c r="F551" s="8" t="s">
        <v>8</v>
      </c>
    </row>
    <row r="552" spans="1:6" ht="18" customHeight="1">
      <c r="A552" s="4" t="s">
        <v>14</v>
      </c>
      <c r="B552" s="4" t="str">
        <f>"2020042607"</f>
        <v>2020042607</v>
      </c>
      <c r="C552" s="5">
        <v>0</v>
      </c>
      <c r="D552" s="6">
        <v>0</v>
      </c>
      <c r="E552" s="7">
        <f t="shared" si="8"/>
        <v>0</v>
      </c>
      <c r="F552" s="8" t="s">
        <v>8</v>
      </c>
    </row>
    <row r="553" spans="1:6" ht="18" customHeight="1">
      <c r="A553" s="4" t="s">
        <v>14</v>
      </c>
      <c r="B553" s="4" t="str">
        <f>"2020043018"</f>
        <v>2020043018</v>
      </c>
      <c r="C553" s="5">
        <v>0</v>
      </c>
      <c r="D553" s="6">
        <v>0</v>
      </c>
      <c r="E553" s="7">
        <f t="shared" si="8"/>
        <v>0</v>
      </c>
      <c r="F553" s="8" t="s">
        <v>8</v>
      </c>
    </row>
    <row r="554" spans="1:6" ht="18" customHeight="1">
      <c r="A554" s="4" t="s">
        <v>14</v>
      </c>
      <c r="B554" s="4" t="str">
        <f>"2020043511"</f>
        <v>2020043511</v>
      </c>
      <c r="C554" s="5">
        <v>0</v>
      </c>
      <c r="D554" s="6">
        <v>0</v>
      </c>
      <c r="E554" s="7">
        <f t="shared" si="8"/>
        <v>0</v>
      </c>
      <c r="F554" s="8" t="s">
        <v>8</v>
      </c>
    </row>
    <row r="555" spans="1:6" ht="18" customHeight="1">
      <c r="A555" s="4" t="s">
        <v>14</v>
      </c>
      <c r="B555" s="4" t="str">
        <f>"2020043612"</f>
        <v>2020043612</v>
      </c>
      <c r="C555" s="5">
        <v>0</v>
      </c>
      <c r="D555" s="6">
        <v>0</v>
      </c>
      <c r="E555" s="7">
        <f t="shared" si="8"/>
        <v>0</v>
      </c>
      <c r="F555" s="8" t="s">
        <v>8</v>
      </c>
    </row>
    <row r="556" spans="1:6" ht="18" customHeight="1">
      <c r="A556" s="4" t="s">
        <v>14</v>
      </c>
      <c r="B556" s="4" t="str">
        <f>"2020045226"</f>
        <v>2020045226</v>
      </c>
      <c r="C556" s="5">
        <v>0</v>
      </c>
      <c r="D556" s="6">
        <v>0</v>
      </c>
      <c r="E556" s="7">
        <f t="shared" si="8"/>
        <v>0</v>
      </c>
      <c r="F556" s="8" t="s">
        <v>8</v>
      </c>
    </row>
    <row r="557" spans="1:6" ht="18" customHeight="1">
      <c r="A557" s="4" t="s">
        <v>14</v>
      </c>
      <c r="B557" s="4" t="str">
        <f>"2020045319"</f>
        <v>2020045319</v>
      </c>
      <c r="C557" s="5">
        <v>0</v>
      </c>
      <c r="D557" s="6">
        <v>0</v>
      </c>
      <c r="E557" s="7">
        <f t="shared" si="8"/>
        <v>0</v>
      </c>
      <c r="F557" s="8" t="s">
        <v>8</v>
      </c>
    </row>
    <row r="558" spans="1:6" ht="18" customHeight="1">
      <c r="A558" s="4" t="s">
        <v>14</v>
      </c>
      <c r="B558" s="4" t="str">
        <f>"2020045412"</f>
        <v>2020045412</v>
      </c>
      <c r="C558" s="5">
        <v>0</v>
      </c>
      <c r="D558" s="6">
        <v>0</v>
      </c>
      <c r="E558" s="7">
        <f t="shared" si="8"/>
        <v>0</v>
      </c>
      <c r="F558" s="8" t="s">
        <v>8</v>
      </c>
    </row>
    <row r="559" spans="1:6" ht="18" customHeight="1">
      <c r="A559" s="4" t="s">
        <v>14</v>
      </c>
      <c r="B559" s="4" t="str">
        <f>"2020046818"</f>
        <v>2020046818</v>
      </c>
      <c r="C559" s="5">
        <v>0</v>
      </c>
      <c r="D559" s="6">
        <v>0</v>
      </c>
      <c r="E559" s="7">
        <f t="shared" si="8"/>
        <v>0</v>
      </c>
      <c r="F559" s="8" t="s">
        <v>8</v>
      </c>
    </row>
    <row r="560" spans="1:6" ht="18" customHeight="1">
      <c r="A560" s="4" t="s">
        <v>14</v>
      </c>
      <c r="B560" s="4" t="str">
        <f>"2020047427"</f>
        <v>2020047427</v>
      </c>
      <c r="C560" s="5">
        <v>0</v>
      </c>
      <c r="D560" s="6">
        <v>0</v>
      </c>
      <c r="E560" s="7">
        <f t="shared" si="8"/>
        <v>0</v>
      </c>
      <c r="F560" s="8" t="s">
        <v>8</v>
      </c>
    </row>
    <row r="561" spans="1:6" ht="18" customHeight="1">
      <c r="A561" s="4" t="s">
        <v>14</v>
      </c>
      <c r="B561" s="4" t="str">
        <f>"2020047528"</f>
        <v>2020047528</v>
      </c>
      <c r="C561" s="5">
        <v>0</v>
      </c>
      <c r="D561" s="6">
        <v>0</v>
      </c>
      <c r="E561" s="7">
        <f t="shared" si="8"/>
        <v>0</v>
      </c>
      <c r="F561" s="8" t="s">
        <v>8</v>
      </c>
    </row>
    <row r="562" spans="1:6" ht="18" customHeight="1">
      <c r="A562" s="4" t="s">
        <v>15</v>
      </c>
      <c r="B562" s="4" t="str">
        <f>"2020045904"</f>
        <v>2020045904</v>
      </c>
      <c r="C562" s="5">
        <v>74.2</v>
      </c>
      <c r="D562" s="6">
        <v>85</v>
      </c>
      <c r="E562" s="7">
        <f t="shared" si="8"/>
        <v>159.19999999999999</v>
      </c>
      <c r="F562" s="8"/>
    </row>
    <row r="563" spans="1:6" ht="18" customHeight="1">
      <c r="A563" s="4" t="s">
        <v>15</v>
      </c>
      <c r="B563" s="4" t="str">
        <f>"2020044611"</f>
        <v>2020044611</v>
      </c>
      <c r="C563" s="5">
        <v>68.900000000000006</v>
      </c>
      <c r="D563" s="6">
        <v>82</v>
      </c>
      <c r="E563" s="7">
        <f t="shared" si="8"/>
        <v>150.9</v>
      </c>
      <c r="F563" s="8"/>
    </row>
    <row r="564" spans="1:6" ht="18" customHeight="1">
      <c r="A564" s="4" t="s">
        <v>15</v>
      </c>
      <c r="B564" s="4" t="str">
        <f>"2020043530"</f>
        <v>2020043530</v>
      </c>
      <c r="C564" s="5">
        <v>69.599999999999994</v>
      </c>
      <c r="D564" s="6">
        <v>78</v>
      </c>
      <c r="E564" s="7">
        <f t="shared" si="8"/>
        <v>147.6</v>
      </c>
      <c r="F564" s="8"/>
    </row>
    <row r="565" spans="1:6" ht="18" customHeight="1">
      <c r="A565" s="4" t="s">
        <v>15</v>
      </c>
      <c r="B565" s="4" t="str">
        <f>"2020040411"</f>
        <v>2020040411</v>
      </c>
      <c r="C565" s="5">
        <v>65.7</v>
      </c>
      <c r="D565" s="6">
        <v>81.5</v>
      </c>
      <c r="E565" s="7">
        <f t="shared" si="8"/>
        <v>147.19999999999999</v>
      </c>
      <c r="F565" s="8"/>
    </row>
    <row r="566" spans="1:6" ht="18" customHeight="1">
      <c r="A566" s="4" t="s">
        <v>15</v>
      </c>
      <c r="B566" s="4" t="str">
        <f>"2020043104"</f>
        <v>2020043104</v>
      </c>
      <c r="C566" s="5">
        <v>72.900000000000006</v>
      </c>
      <c r="D566" s="6">
        <v>74</v>
      </c>
      <c r="E566" s="7">
        <f t="shared" si="8"/>
        <v>146.9</v>
      </c>
      <c r="F566" s="8"/>
    </row>
    <row r="567" spans="1:6" ht="18" customHeight="1">
      <c r="A567" s="4" t="s">
        <v>15</v>
      </c>
      <c r="B567" s="4" t="str">
        <f>"2020023817"</f>
        <v>2020023817</v>
      </c>
      <c r="C567" s="5">
        <v>69.099999999999994</v>
      </c>
      <c r="D567" s="6">
        <v>77</v>
      </c>
      <c r="E567" s="7">
        <f t="shared" si="8"/>
        <v>146.1</v>
      </c>
      <c r="F567" s="8"/>
    </row>
    <row r="568" spans="1:6" ht="18" customHeight="1">
      <c r="A568" s="4" t="s">
        <v>15</v>
      </c>
      <c r="B568" s="4" t="str">
        <f>"2020044311"</f>
        <v>2020044311</v>
      </c>
      <c r="C568" s="5">
        <v>65.2</v>
      </c>
      <c r="D568" s="6">
        <v>80</v>
      </c>
      <c r="E568" s="7">
        <f t="shared" si="8"/>
        <v>145.19999999999999</v>
      </c>
      <c r="F568" s="8"/>
    </row>
    <row r="569" spans="1:6" ht="18" customHeight="1">
      <c r="A569" s="4" t="s">
        <v>15</v>
      </c>
      <c r="B569" s="4" t="str">
        <f>"2020011217"</f>
        <v>2020011217</v>
      </c>
      <c r="C569" s="5">
        <v>71.3</v>
      </c>
      <c r="D569" s="6">
        <v>73</v>
      </c>
      <c r="E569" s="7">
        <f t="shared" si="8"/>
        <v>144.30000000000001</v>
      </c>
      <c r="F569" s="8"/>
    </row>
    <row r="570" spans="1:6" ht="18" customHeight="1">
      <c r="A570" s="4" t="s">
        <v>15</v>
      </c>
      <c r="B570" s="4" t="str">
        <f>"2020040908"</f>
        <v>2020040908</v>
      </c>
      <c r="C570" s="5">
        <v>68</v>
      </c>
      <c r="D570" s="6">
        <v>73.5</v>
      </c>
      <c r="E570" s="7">
        <f t="shared" si="8"/>
        <v>141.5</v>
      </c>
      <c r="F570" s="8"/>
    </row>
    <row r="571" spans="1:6" ht="18" customHeight="1">
      <c r="A571" s="4" t="s">
        <v>15</v>
      </c>
      <c r="B571" s="4" t="str">
        <f>"2020032216"</f>
        <v>2020032216</v>
      </c>
      <c r="C571" s="5">
        <v>61.4</v>
      </c>
      <c r="D571" s="6">
        <v>78</v>
      </c>
      <c r="E571" s="7">
        <f t="shared" si="8"/>
        <v>139.4</v>
      </c>
      <c r="F571" s="8"/>
    </row>
    <row r="572" spans="1:6" ht="18" customHeight="1">
      <c r="A572" s="4" t="s">
        <v>15</v>
      </c>
      <c r="B572" s="4" t="str">
        <f>"2020010929"</f>
        <v>2020010929</v>
      </c>
      <c r="C572" s="5">
        <v>62.7</v>
      </c>
      <c r="D572" s="6">
        <v>75.5</v>
      </c>
      <c r="E572" s="7">
        <f t="shared" si="8"/>
        <v>138.19999999999999</v>
      </c>
      <c r="F572" s="8"/>
    </row>
    <row r="573" spans="1:6" ht="18" customHeight="1">
      <c r="A573" s="4" t="s">
        <v>15</v>
      </c>
      <c r="B573" s="4" t="str">
        <f>"2020046803"</f>
        <v>2020046803</v>
      </c>
      <c r="C573" s="5">
        <v>67.3</v>
      </c>
      <c r="D573" s="6">
        <v>69</v>
      </c>
      <c r="E573" s="7">
        <f t="shared" si="8"/>
        <v>136.30000000000001</v>
      </c>
      <c r="F573" s="8"/>
    </row>
    <row r="574" spans="1:6" ht="18" customHeight="1">
      <c r="A574" s="4" t="s">
        <v>15</v>
      </c>
      <c r="B574" s="4" t="str">
        <f>"2020032107"</f>
        <v>2020032107</v>
      </c>
      <c r="C574" s="5">
        <v>66.599999999999994</v>
      </c>
      <c r="D574" s="6">
        <v>69</v>
      </c>
      <c r="E574" s="7">
        <f t="shared" si="8"/>
        <v>135.6</v>
      </c>
      <c r="F574" s="8"/>
    </row>
    <row r="575" spans="1:6" ht="18" customHeight="1">
      <c r="A575" s="4" t="s">
        <v>15</v>
      </c>
      <c r="B575" s="4" t="str">
        <f>"2020031226"</f>
        <v>2020031226</v>
      </c>
      <c r="C575" s="5">
        <v>71.8</v>
      </c>
      <c r="D575" s="6">
        <v>60</v>
      </c>
      <c r="E575" s="7">
        <f t="shared" si="8"/>
        <v>131.80000000000001</v>
      </c>
      <c r="F575" s="8"/>
    </row>
    <row r="576" spans="1:6" ht="18" customHeight="1">
      <c r="A576" s="4" t="s">
        <v>15</v>
      </c>
      <c r="B576" s="4" t="str">
        <f>"2020044512"</f>
        <v>2020044512</v>
      </c>
      <c r="C576" s="5">
        <v>69.900000000000006</v>
      </c>
      <c r="D576" s="6">
        <v>60.5</v>
      </c>
      <c r="E576" s="7">
        <f t="shared" si="8"/>
        <v>130.4</v>
      </c>
      <c r="F576" s="8"/>
    </row>
    <row r="577" spans="1:6" ht="18" customHeight="1">
      <c r="A577" s="4" t="s">
        <v>15</v>
      </c>
      <c r="B577" s="4" t="str">
        <f>"2020033005"</f>
        <v>2020033005</v>
      </c>
      <c r="C577" s="5">
        <v>62.6</v>
      </c>
      <c r="D577" s="6">
        <v>67</v>
      </c>
      <c r="E577" s="7">
        <f t="shared" si="8"/>
        <v>129.6</v>
      </c>
      <c r="F577" s="8"/>
    </row>
    <row r="578" spans="1:6" ht="18" customHeight="1">
      <c r="A578" s="4" t="s">
        <v>15</v>
      </c>
      <c r="B578" s="4" t="str">
        <f>"2020044022"</f>
        <v>2020044022</v>
      </c>
      <c r="C578" s="5">
        <v>62.5</v>
      </c>
      <c r="D578" s="6">
        <v>64.5</v>
      </c>
      <c r="E578" s="7">
        <f t="shared" si="8"/>
        <v>127</v>
      </c>
      <c r="F578" s="8"/>
    </row>
    <row r="579" spans="1:6" ht="18" customHeight="1">
      <c r="A579" s="4" t="s">
        <v>15</v>
      </c>
      <c r="B579" s="4" t="str">
        <f>"2020044509"</f>
        <v>2020044509</v>
      </c>
      <c r="C579" s="5">
        <v>60.8</v>
      </c>
      <c r="D579" s="6">
        <v>65.5</v>
      </c>
      <c r="E579" s="7">
        <f t="shared" ref="E579:E642" si="9">SUM(C579:D579)</f>
        <v>126.3</v>
      </c>
      <c r="F579" s="8"/>
    </row>
    <row r="580" spans="1:6" ht="18" customHeight="1">
      <c r="A580" s="4" t="s">
        <v>15</v>
      </c>
      <c r="B580" s="4" t="str">
        <f>"2020043528"</f>
        <v>2020043528</v>
      </c>
      <c r="C580" s="5">
        <v>57.1</v>
      </c>
      <c r="D580" s="6">
        <v>62</v>
      </c>
      <c r="E580" s="7">
        <f t="shared" si="9"/>
        <v>119.1</v>
      </c>
      <c r="F580" s="8"/>
    </row>
    <row r="581" spans="1:6" ht="18" customHeight="1">
      <c r="A581" s="4" t="s">
        <v>15</v>
      </c>
      <c r="B581" s="4" t="str">
        <f>"2020013318"</f>
        <v>2020013318</v>
      </c>
      <c r="C581" s="5">
        <v>46.9</v>
      </c>
      <c r="D581" s="6">
        <v>53.5</v>
      </c>
      <c r="E581" s="7">
        <f t="shared" si="9"/>
        <v>100.4</v>
      </c>
      <c r="F581" s="8"/>
    </row>
    <row r="582" spans="1:6" ht="18" customHeight="1">
      <c r="A582" s="4" t="s">
        <v>15</v>
      </c>
      <c r="B582" s="4" t="str">
        <f>"2020021003"</f>
        <v>2020021003</v>
      </c>
      <c r="C582" s="5">
        <v>0</v>
      </c>
      <c r="D582" s="6">
        <v>0</v>
      </c>
      <c r="E582" s="7">
        <f t="shared" si="9"/>
        <v>0</v>
      </c>
      <c r="F582" s="8" t="s">
        <v>8</v>
      </c>
    </row>
    <row r="583" spans="1:6" ht="18" customHeight="1">
      <c r="A583" s="4" t="s">
        <v>15</v>
      </c>
      <c r="B583" s="4" t="str">
        <f>"2020023501"</f>
        <v>2020023501</v>
      </c>
      <c r="C583" s="5">
        <v>0</v>
      </c>
      <c r="D583" s="6">
        <v>0</v>
      </c>
      <c r="E583" s="7">
        <f t="shared" si="9"/>
        <v>0</v>
      </c>
      <c r="F583" s="8" t="s">
        <v>8</v>
      </c>
    </row>
    <row r="584" spans="1:6" ht="18" customHeight="1">
      <c r="A584" s="4" t="s">
        <v>16</v>
      </c>
      <c r="B584" s="4" t="str">
        <f>"2020023724"</f>
        <v>2020023724</v>
      </c>
      <c r="C584" s="5">
        <v>79.900000000000006</v>
      </c>
      <c r="D584" s="6">
        <v>88</v>
      </c>
      <c r="E584" s="7">
        <f t="shared" si="9"/>
        <v>167.9</v>
      </c>
      <c r="F584" s="8"/>
    </row>
    <row r="585" spans="1:6" ht="18" customHeight="1">
      <c r="A585" s="4" t="s">
        <v>16</v>
      </c>
      <c r="B585" s="4" t="str">
        <f>"2020020809"</f>
        <v>2020020809</v>
      </c>
      <c r="C585" s="5">
        <v>76</v>
      </c>
      <c r="D585" s="6">
        <v>79.5</v>
      </c>
      <c r="E585" s="7">
        <f t="shared" si="9"/>
        <v>155.5</v>
      </c>
      <c r="F585" s="8"/>
    </row>
    <row r="586" spans="1:6" ht="18" customHeight="1">
      <c r="A586" s="4" t="s">
        <v>16</v>
      </c>
      <c r="B586" s="4" t="str">
        <f>"2020011130"</f>
        <v>2020011130</v>
      </c>
      <c r="C586" s="5">
        <v>75.599999999999994</v>
      </c>
      <c r="D586" s="6">
        <v>71.5</v>
      </c>
      <c r="E586" s="7">
        <f t="shared" si="9"/>
        <v>147.1</v>
      </c>
      <c r="F586" s="8"/>
    </row>
    <row r="587" spans="1:6" ht="18" customHeight="1">
      <c r="A587" s="4" t="s">
        <v>16</v>
      </c>
      <c r="B587" s="4" t="str">
        <f>"2020023228"</f>
        <v>2020023228</v>
      </c>
      <c r="C587" s="5">
        <v>66.3</v>
      </c>
      <c r="D587" s="6">
        <v>78.5</v>
      </c>
      <c r="E587" s="7">
        <f t="shared" si="9"/>
        <v>144.80000000000001</v>
      </c>
      <c r="F587" s="8"/>
    </row>
    <row r="588" spans="1:6" ht="18" customHeight="1">
      <c r="A588" s="4" t="s">
        <v>16</v>
      </c>
      <c r="B588" s="4" t="str">
        <f>"2020047315"</f>
        <v>2020047315</v>
      </c>
      <c r="C588" s="5">
        <v>64.5</v>
      </c>
      <c r="D588" s="6">
        <v>80</v>
      </c>
      <c r="E588" s="7">
        <f t="shared" si="9"/>
        <v>144.5</v>
      </c>
      <c r="F588" s="8"/>
    </row>
    <row r="589" spans="1:6" ht="18" customHeight="1">
      <c r="A589" s="4" t="s">
        <v>16</v>
      </c>
      <c r="B589" s="4" t="str">
        <f>"2020044223"</f>
        <v>2020044223</v>
      </c>
      <c r="C589" s="5">
        <v>73.3</v>
      </c>
      <c r="D589" s="6">
        <v>69</v>
      </c>
      <c r="E589" s="7">
        <f t="shared" si="9"/>
        <v>142.30000000000001</v>
      </c>
      <c r="F589" s="8"/>
    </row>
    <row r="590" spans="1:6" ht="18" customHeight="1">
      <c r="A590" s="4" t="s">
        <v>16</v>
      </c>
      <c r="B590" s="4" t="str">
        <f>"2020045301"</f>
        <v>2020045301</v>
      </c>
      <c r="C590" s="5">
        <v>66.2</v>
      </c>
      <c r="D590" s="6">
        <v>76</v>
      </c>
      <c r="E590" s="7">
        <f t="shared" si="9"/>
        <v>142.19999999999999</v>
      </c>
      <c r="F590" s="8"/>
    </row>
    <row r="591" spans="1:6" ht="18" customHeight="1">
      <c r="A591" s="4" t="s">
        <v>16</v>
      </c>
      <c r="B591" s="4" t="str">
        <f>"2020040528"</f>
        <v>2020040528</v>
      </c>
      <c r="C591" s="5">
        <v>74.400000000000006</v>
      </c>
      <c r="D591" s="6">
        <v>64</v>
      </c>
      <c r="E591" s="7">
        <f t="shared" si="9"/>
        <v>138.4</v>
      </c>
      <c r="F591" s="8"/>
    </row>
    <row r="592" spans="1:6" ht="18" customHeight="1">
      <c r="A592" s="4" t="s">
        <v>16</v>
      </c>
      <c r="B592" s="4" t="str">
        <f>"2020024220"</f>
        <v>2020024220</v>
      </c>
      <c r="C592" s="5">
        <v>64.8</v>
      </c>
      <c r="D592" s="6">
        <v>73</v>
      </c>
      <c r="E592" s="7">
        <f t="shared" si="9"/>
        <v>137.80000000000001</v>
      </c>
      <c r="F592" s="8"/>
    </row>
    <row r="593" spans="1:6" ht="18" customHeight="1">
      <c r="A593" s="4" t="s">
        <v>16</v>
      </c>
      <c r="B593" s="4" t="str">
        <f>"2020045310"</f>
        <v>2020045310</v>
      </c>
      <c r="C593" s="5">
        <v>68.3</v>
      </c>
      <c r="D593" s="6">
        <v>66.5</v>
      </c>
      <c r="E593" s="7">
        <f t="shared" si="9"/>
        <v>134.80000000000001</v>
      </c>
      <c r="F593" s="8"/>
    </row>
    <row r="594" spans="1:6" ht="18" customHeight="1">
      <c r="A594" s="4" t="s">
        <v>16</v>
      </c>
      <c r="B594" s="4" t="str">
        <f>"2020041821"</f>
        <v>2020041821</v>
      </c>
      <c r="C594" s="5">
        <v>64.7</v>
      </c>
      <c r="D594" s="6">
        <v>68.5</v>
      </c>
      <c r="E594" s="7">
        <f t="shared" si="9"/>
        <v>133.19999999999999</v>
      </c>
      <c r="F594" s="8"/>
    </row>
    <row r="595" spans="1:6" ht="18" customHeight="1">
      <c r="A595" s="4" t="s">
        <v>16</v>
      </c>
      <c r="B595" s="4" t="str">
        <f>"2020030703"</f>
        <v>2020030703</v>
      </c>
      <c r="C595" s="5">
        <v>74.900000000000006</v>
      </c>
      <c r="D595" s="6">
        <v>58</v>
      </c>
      <c r="E595" s="7">
        <f t="shared" si="9"/>
        <v>132.9</v>
      </c>
      <c r="F595" s="8"/>
    </row>
    <row r="596" spans="1:6" ht="18" customHeight="1">
      <c r="A596" s="4" t="s">
        <v>16</v>
      </c>
      <c r="B596" s="4" t="str">
        <f>"2020045806"</f>
        <v>2020045806</v>
      </c>
      <c r="C596" s="5">
        <v>72.900000000000006</v>
      </c>
      <c r="D596" s="6">
        <v>59</v>
      </c>
      <c r="E596" s="7">
        <f t="shared" si="9"/>
        <v>131.9</v>
      </c>
      <c r="F596" s="8"/>
    </row>
    <row r="597" spans="1:6" ht="18" customHeight="1">
      <c r="A597" s="4" t="s">
        <v>16</v>
      </c>
      <c r="B597" s="4" t="str">
        <f>"2020031721"</f>
        <v>2020031721</v>
      </c>
      <c r="C597" s="5">
        <v>67.8</v>
      </c>
      <c r="D597" s="6">
        <v>63</v>
      </c>
      <c r="E597" s="7">
        <f t="shared" si="9"/>
        <v>130.80000000000001</v>
      </c>
      <c r="F597" s="8"/>
    </row>
    <row r="598" spans="1:6" ht="18" customHeight="1">
      <c r="A598" s="4" t="s">
        <v>16</v>
      </c>
      <c r="B598" s="4" t="str">
        <f>"2020033201"</f>
        <v>2020033201</v>
      </c>
      <c r="C598" s="5">
        <v>70.099999999999994</v>
      </c>
      <c r="D598" s="6">
        <v>59</v>
      </c>
      <c r="E598" s="7">
        <f t="shared" si="9"/>
        <v>129.1</v>
      </c>
      <c r="F598" s="8"/>
    </row>
    <row r="599" spans="1:6" ht="18" customHeight="1">
      <c r="A599" s="4" t="s">
        <v>16</v>
      </c>
      <c r="B599" s="4" t="str">
        <f>"2020024016"</f>
        <v>2020024016</v>
      </c>
      <c r="C599" s="5">
        <v>65.900000000000006</v>
      </c>
      <c r="D599" s="6">
        <v>62</v>
      </c>
      <c r="E599" s="7">
        <f t="shared" si="9"/>
        <v>127.9</v>
      </c>
      <c r="F599" s="8"/>
    </row>
    <row r="600" spans="1:6" ht="18" customHeight="1">
      <c r="A600" s="4" t="s">
        <v>16</v>
      </c>
      <c r="B600" s="4" t="str">
        <f>"2020030527"</f>
        <v>2020030527</v>
      </c>
      <c r="C600" s="5">
        <v>69.3</v>
      </c>
      <c r="D600" s="6">
        <v>58.5</v>
      </c>
      <c r="E600" s="7">
        <f t="shared" si="9"/>
        <v>127.8</v>
      </c>
      <c r="F600" s="8"/>
    </row>
    <row r="601" spans="1:6" ht="18" customHeight="1">
      <c r="A601" s="4" t="s">
        <v>16</v>
      </c>
      <c r="B601" s="4" t="str">
        <f>"2020021815"</f>
        <v>2020021815</v>
      </c>
      <c r="C601" s="5">
        <v>66.2</v>
      </c>
      <c r="D601" s="6">
        <v>59</v>
      </c>
      <c r="E601" s="7">
        <f t="shared" si="9"/>
        <v>125.2</v>
      </c>
      <c r="F601" s="8"/>
    </row>
    <row r="602" spans="1:6" ht="18" customHeight="1">
      <c r="A602" s="4" t="s">
        <v>16</v>
      </c>
      <c r="B602" s="4" t="str">
        <f>"2020030916"</f>
        <v>2020030916</v>
      </c>
      <c r="C602" s="5">
        <v>69.900000000000006</v>
      </c>
      <c r="D602" s="6">
        <v>53.5</v>
      </c>
      <c r="E602" s="7">
        <f t="shared" si="9"/>
        <v>123.4</v>
      </c>
      <c r="F602" s="8"/>
    </row>
    <row r="603" spans="1:6" ht="18" customHeight="1">
      <c r="A603" s="4" t="s">
        <v>16</v>
      </c>
      <c r="B603" s="4" t="str">
        <f>"2020020919"</f>
        <v>2020020919</v>
      </c>
      <c r="C603" s="5">
        <v>62.3</v>
      </c>
      <c r="D603" s="6">
        <v>60.5</v>
      </c>
      <c r="E603" s="7">
        <f t="shared" si="9"/>
        <v>122.8</v>
      </c>
      <c r="F603" s="8"/>
    </row>
    <row r="604" spans="1:6" ht="18" customHeight="1">
      <c r="A604" s="4" t="s">
        <v>16</v>
      </c>
      <c r="B604" s="4" t="str">
        <f>"2020043302"</f>
        <v>2020043302</v>
      </c>
      <c r="C604" s="5">
        <v>60</v>
      </c>
      <c r="D604" s="6">
        <v>54</v>
      </c>
      <c r="E604" s="7">
        <f t="shared" si="9"/>
        <v>114</v>
      </c>
      <c r="F604" s="8"/>
    </row>
    <row r="605" spans="1:6" ht="18" customHeight="1">
      <c r="A605" s="4" t="s">
        <v>16</v>
      </c>
      <c r="B605" s="4" t="str">
        <f>"2020044106"</f>
        <v>2020044106</v>
      </c>
      <c r="C605" s="5">
        <v>0</v>
      </c>
      <c r="D605" s="6">
        <v>0</v>
      </c>
      <c r="E605" s="7">
        <f t="shared" si="9"/>
        <v>0</v>
      </c>
      <c r="F605" s="8" t="s">
        <v>8</v>
      </c>
    </row>
    <row r="606" spans="1:6" ht="18" customHeight="1">
      <c r="A606" s="4" t="s">
        <v>17</v>
      </c>
      <c r="B606" s="4" t="str">
        <f>"2020044005"</f>
        <v>2020044005</v>
      </c>
      <c r="C606" s="5">
        <v>77.099999999999994</v>
      </c>
      <c r="D606" s="6">
        <v>84.5</v>
      </c>
      <c r="E606" s="7">
        <f t="shared" si="9"/>
        <v>161.6</v>
      </c>
      <c r="F606" s="8"/>
    </row>
    <row r="607" spans="1:6" ht="18" customHeight="1">
      <c r="A607" s="4" t="s">
        <v>17</v>
      </c>
      <c r="B607" s="4" t="str">
        <f>"2020032407"</f>
        <v>2020032407</v>
      </c>
      <c r="C607" s="5">
        <v>80.7</v>
      </c>
      <c r="D607" s="6">
        <v>74.5</v>
      </c>
      <c r="E607" s="7">
        <f t="shared" si="9"/>
        <v>155.19999999999999</v>
      </c>
      <c r="F607" s="8"/>
    </row>
    <row r="608" spans="1:6" ht="18" customHeight="1">
      <c r="A608" s="4" t="s">
        <v>17</v>
      </c>
      <c r="B608" s="4" t="str">
        <f>"2020031327"</f>
        <v>2020031327</v>
      </c>
      <c r="C608" s="5">
        <v>76.8</v>
      </c>
      <c r="D608" s="6">
        <v>75.5</v>
      </c>
      <c r="E608" s="7">
        <f t="shared" si="9"/>
        <v>152.30000000000001</v>
      </c>
      <c r="F608" s="8"/>
    </row>
    <row r="609" spans="1:6" ht="18" customHeight="1">
      <c r="A609" s="4" t="s">
        <v>17</v>
      </c>
      <c r="B609" s="4" t="str">
        <f>"2020044310"</f>
        <v>2020044310</v>
      </c>
      <c r="C609" s="5">
        <v>73.099999999999994</v>
      </c>
      <c r="D609" s="6">
        <v>76</v>
      </c>
      <c r="E609" s="7">
        <f t="shared" si="9"/>
        <v>149.1</v>
      </c>
      <c r="F609" s="8"/>
    </row>
    <row r="610" spans="1:6" ht="18" customHeight="1">
      <c r="A610" s="4" t="s">
        <v>17</v>
      </c>
      <c r="B610" s="4" t="str">
        <f>"2020021823"</f>
        <v>2020021823</v>
      </c>
      <c r="C610" s="5">
        <v>60.9</v>
      </c>
      <c r="D610" s="6">
        <v>86.5</v>
      </c>
      <c r="E610" s="7">
        <f t="shared" si="9"/>
        <v>147.4</v>
      </c>
      <c r="F610" s="8"/>
    </row>
    <row r="611" spans="1:6" ht="18" customHeight="1">
      <c r="A611" s="4" t="s">
        <v>17</v>
      </c>
      <c r="B611" s="4" t="str">
        <f>"2020013626"</f>
        <v>2020013626</v>
      </c>
      <c r="C611" s="5">
        <v>72.5</v>
      </c>
      <c r="D611" s="6">
        <v>73</v>
      </c>
      <c r="E611" s="7">
        <f t="shared" si="9"/>
        <v>145.5</v>
      </c>
      <c r="F611" s="8"/>
    </row>
    <row r="612" spans="1:6" ht="18" customHeight="1">
      <c r="A612" s="4" t="s">
        <v>17</v>
      </c>
      <c r="B612" s="4" t="str">
        <f>"2020044823"</f>
        <v>2020044823</v>
      </c>
      <c r="C612" s="5">
        <v>72.5</v>
      </c>
      <c r="D612" s="6">
        <v>73</v>
      </c>
      <c r="E612" s="7">
        <f t="shared" si="9"/>
        <v>145.5</v>
      </c>
      <c r="F612" s="8"/>
    </row>
    <row r="613" spans="1:6" ht="18" customHeight="1">
      <c r="A613" s="4" t="s">
        <v>17</v>
      </c>
      <c r="B613" s="4" t="str">
        <f>"2020021616"</f>
        <v>2020021616</v>
      </c>
      <c r="C613" s="5">
        <v>70.7</v>
      </c>
      <c r="D613" s="6">
        <v>70.5</v>
      </c>
      <c r="E613" s="7">
        <f t="shared" si="9"/>
        <v>141.19999999999999</v>
      </c>
      <c r="F613" s="8"/>
    </row>
    <row r="614" spans="1:6" ht="18" customHeight="1">
      <c r="A614" s="4" t="s">
        <v>17</v>
      </c>
      <c r="B614" s="4" t="str">
        <f>"2020020508"</f>
        <v>2020020508</v>
      </c>
      <c r="C614" s="5">
        <v>73.400000000000006</v>
      </c>
      <c r="D614" s="6">
        <v>66.5</v>
      </c>
      <c r="E614" s="7">
        <f t="shared" si="9"/>
        <v>139.9</v>
      </c>
      <c r="F614" s="8"/>
    </row>
    <row r="615" spans="1:6" ht="18" customHeight="1">
      <c r="A615" s="4" t="s">
        <v>17</v>
      </c>
      <c r="B615" s="4" t="str">
        <f>"2020022515"</f>
        <v>2020022515</v>
      </c>
      <c r="C615" s="5">
        <v>69.099999999999994</v>
      </c>
      <c r="D615" s="6">
        <v>70.5</v>
      </c>
      <c r="E615" s="7">
        <f t="shared" si="9"/>
        <v>139.6</v>
      </c>
      <c r="F615" s="8"/>
    </row>
    <row r="616" spans="1:6" ht="18" customHeight="1">
      <c r="A616" s="4" t="s">
        <v>17</v>
      </c>
      <c r="B616" s="4" t="str">
        <f>"2020013501"</f>
        <v>2020013501</v>
      </c>
      <c r="C616" s="5">
        <v>66.900000000000006</v>
      </c>
      <c r="D616" s="6">
        <v>72.5</v>
      </c>
      <c r="E616" s="7">
        <f t="shared" si="9"/>
        <v>139.4</v>
      </c>
      <c r="F616" s="8"/>
    </row>
    <row r="617" spans="1:6" ht="18" customHeight="1">
      <c r="A617" s="4" t="s">
        <v>17</v>
      </c>
      <c r="B617" s="4" t="str">
        <f>"2020011503"</f>
        <v>2020011503</v>
      </c>
      <c r="C617" s="5">
        <v>63</v>
      </c>
      <c r="D617" s="6">
        <v>74</v>
      </c>
      <c r="E617" s="7">
        <f t="shared" si="9"/>
        <v>137</v>
      </c>
      <c r="F617" s="8"/>
    </row>
    <row r="618" spans="1:6" ht="18" customHeight="1">
      <c r="A618" s="4" t="s">
        <v>17</v>
      </c>
      <c r="B618" s="4" t="str">
        <f>"2020043303"</f>
        <v>2020043303</v>
      </c>
      <c r="C618" s="5">
        <v>64.7</v>
      </c>
      <c r="D618" s="6">
        <v>71</v>
      </c>
      <c r="E618" s="7">
        <f t="shared" si="9"/>
        <v>135.69999999999999</v>
      </c>
      <c r="F618" s="8"/>
    </row>
    <row r="619" spans="1:6" ht="18" customHeight="1">
      <c r="A619" s="4" t="s">
        <v>17</v>
      </c>
      <c r="B619" s="4" t="str">
        <f>"2020020621"</f>
        <v>2020020621</v>
      </c>
      <c r="C619" s="5">
        <v>69.099999999999994</v>
      </c>
      <c r="D619" s="6">
        <v>66.5</v>
      </c>
      <c r="E619" s="7">
        <f t="shared" si="9"/>
        <v>135.6</v>
      </c>
      <c r="F619" s="8"/>
    </row>
    <row r="620" spans="1:6" ht="18" customHeight="1">
      <c r="A620" s="4" t="s">
        <v>17</v>
      </c>
      <c r="B620" s="4" t="str">
        <f>"2020047121"</f>
        <v>2020047121</v>
      </c>
      <c r="C620" s="5">
        <v>68.099999999999994</v>
      </c>
      <c r="D620" s="6">
        <v>67.5</v>
      </c>
      <c r="E620" s="7">
        <f t="shared" si="9"/>
        <v>135.6</v>
      </c>
      <c r="F620" s="8"/>
    </row>
    <row r="621" spans="1:6" ht="18" customHeight="1">
      <c r="A621" s="4" t="s">
        <v>17</v>
      </c>
      <c r="B621" s="4" t="str">
        <f>"2020032827"</f>
        <v>2020032827</v>
      </c>
      <c r="C621" s="5">
        <v>68</v>
      </c>
      <c r="D621" s="6">
        <v>67</v>
      </c>
      <c r="E621" s="7">
        <f t="shared" si="9"/>
        <v>135</v>
      </c>
      <c r="F621" s="8"/>
    </row>
    <row r="622" spans="1:6" ht="18" customHeight="1">
      <c r="A622" s="4" t="s">
        <v>17</v>
      </c>
      <c r="B622" s="4" t="str">
        <f>"2020020513"</f>
        <v>2020020513</v>
      </c>
      <c r="C622" s="5">
        <v>72.7</v>
      </c>
      <c r="D622" s="6">
        <v>61</v>
      </c>
      <c r="E622" s="7">
        <f t="shared" si="9"/>
        <v>133.69999999999999</v>
      </c>
      <c r="F622" s="8"/>
    </row>
    <row r="623" spans="1:6" ht="18" customHeight="1">
      <c r="A623" s="4" t="s">
        <v>17</v>
      </c>
      <c r="B623" s="4" t="str">
        <f>"2020033912"</f>
        <v>2020033912</v>
      </c>
      <c r="C623" s="5">
        <v>58.2</v>
      </c>
      <c r="D623" s="6">
        <v>75</v>
      </c>
      <c r="E623" s="7">
        <f t="shared" si="9"/>
        <v>133.19999999999999</v>
      </c>
      <c r="F623" s="8"/>
    </row>
    <row r="624" spans="1:6" ht="18" customHeight="1">
      <c r="A624" s="4" t="s">
        <v>17</v>
      </c>
      <c r="B624" s="4" t="str">
        <f>"2020020813"</f>
        <v>2020020813</v>
      </c>
      <c r="C624" s="5">
        <v>67.900000000000006</v>
      </c>
      <c r="D624" s="6">
        <v>64.5</v>
      </c>
      <c r="E624" s="7">
        <f t="shared" si="9"/>
        <v>132.4</v>
      </c>
      <c r="F624" s="8"/>
    </row>
    <row r="625" spans="1:6" ht="18" customHeight="1">
      <c r="A625" s="4" t="s">
        <v>17</v>
      </c>
      <c r="B625" s="4" t="str">
        <f>"2020022217"</f>
        <v>2020022217</v>
      </c>
      <c r="C625" s="5">
        <v>59.7</v>
      </c>
      <c r="D625" s="6">
        <v>71.5</v>
      </c>
      <c r="E625" s="7">
        <f t="shared" si="9"/>
        <v>131.19999999999999</v>
      </c>
      <c r="F625" s="8"/>
    </row>
    <row r="626" spans="1:6" ht="18" customHeight="1">
      <c r="A626" s="4" t="s">
        <v>17</v>
      </c>
      <c r="B626" s="4" t="str">
        <f>"2020021525"</f>
        <v>2020021525</v>
      </c>
      <c r="C626" s="5">
        <v>61.9</v>
      </c>
      <c r="D626" s="6">
        <v>68.5</v>
      </c>
      <c r="E626" s="7">
        <f t="shared" si="9"/>
        <v>130.4</v>
      </c>
      <c r="F626" s="8"/>
    </row>
    <row r="627" spans="1:6" ht="18" customHeight="1">
      <c r="A627" s="4" t="s">
        <v>17</v>
      </c>
      <c r="B627" s="4" t="str">
        <f>"2020010405"</f>
        <v>2020010405</v>
      </c>
      <c r="C627" s="5">
        <v>60.2</v>
      </c>
      <c r="D627" s="6">
        <v>69.5</v>
      </c>
      <c r="E627" s="7">
        <f t="shared" si="9"/>
        <v>129.69999999999999</v>
      </c>
      <c r="F627" s="8"/>
    </row>
    <row r="628" spans="1:6" ht="18" customHeight="1">
      <c r="A628" s="4" t="s">
        <v>17</v>
      </c>
      <c r="B628" s="4" t="str">
        <f>"2020032626"</f>
        <v>2020032626</v>
      </c>
      <c r="C628" s="5">
        <v>73.7</v>
      </c>
      <c r="D628" s="6">
        <v>55.5</v>
      </c>
      <c r="E628" s="7">
        <f t="shared" si="9"/>
        <v>129.19999999999999</v>
      </c>
      <c r="F628" s="8"/>
    </row>
    <row r="629" spans="1:6" ht="18" customHeight="1">
      <c r="A629" s="4" t="s">
        <v>17</v>
      </c>
      <c r="B629" s="4" t="str">
        <f>"2020013106"</f>
        <v>2020013106</v>
      </c>
      <c r="C629" s="5">
        <v>61.7</v>
      </c>
      <c r="D629" s="6">
        <v>66</v>
      </c>
      <c r="E629" s="7">
        <f t="shared" si="9"/>
        <v>127.7</v>
      </c>
      <c r="F629" s="8"/>
    </row>
    <row r="630" spans="1:6" ht="18" customHeight="1">
      <c r="A630" s="4" t="s">
        <v>17</v>
      </c>
      <c r="B630" s="4" t="str">
        <f>"2020041205"</f>
        <v>2020041205</v>
      </c>
      <c r="C630" s="5">
        <v>69.5</v>
      </c>
      <c r="D630" s="6">
        <v>58</v>
      </c>
      <c r="E630" s="7">
        <f t="shared" si="9"/>
        <v>127.5</v>
      </c>
      <c r="F630" s="8"/>
    </row>
    <row r="631" spans="1:6" ht="18" customHeight="1">
      <c r="A631" s="4" t="s">
        <v>17</v>
      </c>
      <c r="B631" s="4" t="str">
        <f>"2020022504"</f>
        <v>2020022504</v>
      </c>
      <c r="C631" s="5">
        <v>63.5</v>
      </c>
      <c r="D631" s="6">
        <v>64</v>
      </c>
      <c r="E631" s="7">
        <f t="shared" si="9"/>
        <v>127.5</v>
      </c>
      <c r="F631" s="8"/>
    </row>
    <row r="632" spans="1:6" ht="18" customHeight="1">
      <c r="A632" s="4" t="s">
        <v>17</v>
      </c>
      <c r="B632" s="4" t="str">
        <f>"2020030422"</f>
        <v>2020030422</v>
      </c>
      <c r="C632" s="5">
        <v>57.2</v>
      </c>
      <c r="D632" s="6">
        <v>70</v>
      </c>
      <c r="E632" s="7">
        <f t="shared" si="9"/>
        <v>127.2</v>
      </c>
      <c r="F632" s="8"/>
    </row>
    <row r="633" spans="1:6" ht="18" customHeight="1">
      <c r="A633" s="4" t="s">
        <v>17</v>
      </c>
      <c r="B633" s="4" t="str">
        <f>"2020032230"</f>
        <v>2020032230</v>
      </c>
      <c r="C633" s="5">
        <v>81</v>
      </c>
      <c r="D633" s="6">
        <v>45.5</v>
      </c>
      <c r="E633" s="7">
        <f t="shared" si="9"/>
        <v>126.5</v>
      </c>
      <c r="F633" s="8"/>
    </row>
    <row r="634" spans="1:6" ht="18" customHeight="1">
      <c r="A634" s="4" t="s">
        <v>17</v>
      </c>
      <c r="B634" s="4" t="str">
        <f>"2020013721"</f>
        <v>2020013721</v>
      </c>
      <c r="C634" s="5">
        <v>67.3</v>
      </c>
      <c r="D634" s="6">
        <v>59</v>
      </c>
      <c r="E634" s="7">
        <f t="shared" si="9"/>
        <v>126.3</v>
      </c>
      <c r="F634" s="8"/>
    </row>
    <row r="635" spans="1:6" ht="18" customHeight="1">
      <c r="A635" s="4" t="s">
        <v>17</v>
      </c>
      <c r="B635" s="4" t="str">
        <f>"2020010426"</f>
        <v>2020010426</v>
      </c>
      <c r="C635" s="5">
        <v>60.3</v>
      </c>
      <c r="D635" s="6">
        <v>66</v>
      </c>
      <c r="E635" s="7">
        <f t="shared" si="9"/>
        <v>126.3</v>
      </c>
      <c r="F635" s="8"/>
    </row>
    <row r="636" spans="1:6" ht="18" customHeight="1">
      <c r="A636" s="4" t="s">
        <v>17</v>
      </c>
      <c r="B636" s="4" t="str">
        <f>"2020023217"</f>
        <v>2020023217</v>
      </c>
      <c r="C636" s="5">
        <v>70.599999999999994</v>
      </c>
      <c r="D636" s="6">
        <v>55.5</v>
      </c>
      <c r="E636" s="7">
        <f t="shared" si="9"/>
        <v>126.1</v>
      </c>
      <c r="F636" s="8"/>
    </row>
    <row r="637" spans="1:6" ht="18" customHeight="1">
      <c r="A637" s="4" t="s">
        <v>17</v>
      </c>
      <c r="B637" s="4" t="str">
        <f>"2020032106"</f>
        <v>2020032106</v>
      </c>
      <c r="C637" s="5">
        <v>64.2</v>
      </c>
      <c r="D637" s="6">
        <v>61.5</v>
      </c>
      <c r="E637" s="7">
        <f t="shared" si="9"/>
        <v>125.7</v>
      </c>
      <c r="F637" s="8"/>
    </row>
    <row r="638" spans="1:6" ht="18" customHeight="1">
      <c r="A638" s="4" t="s">
        <v>17</v>
      </c>
      <c r="B638" s="4" t="str">
        <f>"2020013615"</f>
        <v>2020013615</v>
      </c>
      <c r="C638" s="5">
        <v>67.099999999999994</v>
      </c>
      <c r="D638" s="6">
        <v>58.5</v>
      </c>
      <c r="E638" s="7">
        <f t="shared" si="9"/>
        <v>125.6</v>
      </c>
      <c r="F638" s="8"/>
    </row>
    <row r="639" spans="1:6" ht="18" customHeight="1">
      <c r="A639" s="4" t="s">
        <v>17</v>
      </c>
      <c r="B639" s="4" t="str">
        <f>"2020046814"</f>
        <v>2020046814</v>
      </c>
      <c r="C639" s="5">
        <v>67.8</v>
      </c>
      <c r="D639" s="6">
        <v>57.5</v>
      </c>
      <c r="E639" s="7">
        <f t="shared" si="9"/>
        <v>125.3</v>
      </c>
      <c r="F639" s="8"/>
    </row>
    <row r="640" spans="1:6" ht="18" customHeight="1">
      <c r="A640" s="4" t="s">
        <v>17</v>
      </c>
      <c r="B640" s="4" t="str">
        <f>"2020046713"</f>
        <v>2020046713</v>
      </c>
      <c r="C640" s="5">
        <v>61.8</v>
      </c>
      <c r="D640" s="6">
        <v>60</v>
      </c>
      <c r="E640" s="7">
        <f t="shared" si="9"/>
        <v>121.8</v>
      </c>
      <c r="F640" s="8"/>
    </row>
    <row r="641" spans="1:6" ht="18" customHeight="1">
      <c r="A641" s="4" t="s">
        <v>17</v>
      </c>
      <c r="B641" s="4" t="str">
        <f>"2020030820"</f>
        <v>2020030820</v>
      </c>
      <c r="C641" s="5">
        <v>64</v>
      </c>
      <c r="D641" s="6">
        <v>57.5</v>
      </c>
      <c r="E641" s="7">
        <f t="shared" si="9"/>
        <v>121.5</v>
      </c>
      <c r="F641" s="8"/>
    </row>
    <row r="642" spans="1:6" ht="18" customHeight="1">
      <c r="A642" s="4" t="s">
        <v>17</v>
      </c>
      <c r="B642" s="4" t="str">
        <f>"2020043927"</f>
        <v>2020043927</v>
      </c>
      <c r="C642" s="5">
        <v>60.5</v>
      </c>
      <c r="D642" s="6">
        <v>59</v>
      </c>
      <c r="E642" s="7">
        <f t="shared" si="9"/>
        <v>119.5</v>
      </c>
      <c r="F642" s="8"/>
    </row>
    <row r="643" spans="1:6" ht="18" customHeight="1">
      <c r="A643" s="4" t="s">
        <v>17</v>
      </c>
      <c r="B643" s="4" t="str">
        <f>"2020042022"</f>
        <v>2020042022</v>
      </c>
      <c r="C643" s="5">
        <v>61.2</v>
      </c>
      <c r="D643" s="6">
        <v>55</v>
      </c>
      <c r="E643" s="7">
        <f t="shared" ref="E643:E706" si="10">SUM(C643:D643)</f>
        <v>116.2</v>
      </c>
      <c r="F643" s="8"/>
    </row>
    <row r="644" spans="1:6" ht="18" customHeight="1">
      <c r="A644" s="4" t="s">
        <v>17</v>
      </c>
      <c r="B644" s="4" t="str">
        <f>"2020020317"</f>
        <v>2020020317</v>
      </c>
      <c r="C644" s="5">
        <v>60.7</v>
      </c>
      <c r="D644" s="6">
        <v>55.5</v>
      </c>
      <c r="E644" s="7">
        <f t="shared" si="10"/>
        <v>116.2</v>
      </c>
      <c r="F644" s="8"/>
    </row>
    <row r="645" spans="1:6" ht="18" customHeight="1">
      <c r="A645" s="4" t="s">
        <v>17</v>
      </c>
      <c r="B645" s="4" t="str">
        <f>"2020046513"</f>
        <v>2020046513</v>
      </c>
      <c r="C645" s="5">
        <v>58.8</v>
      </c>
      <c r="D645" s="6">
        <v>56</v>
      </c>
      <c r="E645" s="7">
        <f t="shared" si="10"/>
        <v>114.8</v>
      </c>
      <c r="F645" s="8"/>
    </row>
    <row r="646" spans="1:6" ht="18" customHeight="1">
      <c r="A646" s="4" t="s">
        <v>17</v>
      </c>
      <c r="B646" s="4" t="str">
        <f>"2020030716"</f>
        <v>2020030716</v>
      </c>
      <c r="C646" s="5">
        <v>56.1</v>
      </c>
      <c r="D646" s="6">
        <v>48.5</v>
      </c>
      <c r="E646" s="7">
        <f t="shared" si="10"/>
        <v>104.6</v>
      </c>
      <c r="F646" s="8"/>
    </row>
    <row r="647" spans="1:6" ht="18" customHeight="1">
      <c r="A647" s="4" t="s">
        <v>17</v>
      </c>
      <c r="B647" s="4" t="str">
        <f>"2020023723"</f>
        <v>2020023723</v>
      </c>
      <c r="C647" s="5">
        <v>42.7</v>
      </c>
      <c r="D647" s="6">
        <v>61.5</v>
      </c>
      <c r="E647" s="7">
        <f t="shared" si="10"/>
        <v>104.2</v>
      </c>
      <c r="F647" s="8"/>
    </row>
    <row r="648" spans="1:6" ht="18" customHeight="1">
      <c r="A648" s="4" t="s">
        <v>17</v>
      </c>
      <c r="B648" s="4" t="str">
        <f>"2020044714"</f>
        <v>2020044714</v>
      </c>
      <c r="C648" s="5">
        <v>52.6</v>
      </c>
      <c r="D648" s="6">
        <v>51.5</v>
      </c>
      <c r="E648" s="7">
        <f t="shared" si="10"/>
        <v>104.1</v>
      </c>
      <c r="F648" s="8"/>
    </row>
    <row r="649" spans="1:6" ht="18" customHeight="1">
      <c r="A649" s="4" t="s">
        <v>17</v>
      </c>
      <c r="B649" s="4" t="str">
        <f>"2020022427"</f>
        <v>2020022427</v>
      </c>
      <c r="C649" s="5">
        <v>53.4</v>
      </c>
      <c r="D649" s="6">
        <v>44.5</v>
      </c>
      <c r="E649" s="7">
        <f t="shared" si="10"/>
        <v>97.9</v>
      </c>
      <c r="F649" s="8"/>
    </row>
    <row r="650" spans="1:6" ht="18" customHeight="1">
      <c r="A650" s="4" t="s">
        <v>17</v>
      </c>
      <c r="B650" s="4" t="str">
        <f>"2020011424"</f>
        <v>2020011424</v>
      </c>
      <c r="C650" s="5">
        <v>0</v>
      </c>
      <c r="D650" s="6">
        <v>0</v>
      </c>
      <c r="E650" s="7">
        <f t="shared" si="10"/>
        <v>0</v>
      </c>
      <c r="F650" s="9" t="s">
        <v>8</v>
      </c>
    </row>
    <row r="651" spans="1:6" ht="18" customHeight="1">
      <c r="A651" s="4" t="s">
        <v>17</v>
      </c>
      <c r="B651" s="4" t="str">
        <f>"2020021611"</f>
        <v>2020021611</v>
      </c>
      <c r="C651" s="5">
        <v>0</v>
      </c>
      <c r="D651" s="6">
        <v>0</v>
      </c>
      <c r="E651" s="7">
        <f t="shared" si="10"/>
        <v>0</v>
      </c>
      <c r="F651" s="8" t="s">
        <v>8</v>
      </c>
    </row>
    <row r="652" spans="1:6" ht="18" customHeight="1">
      <c r="A652" s="4" t="s">
        <v>17</v>
      </c>
      <c r="B652" s="4" t="str">
        <f>"2020021902"</f>
        <v>2020021902</v>
      </c>
      <c r="C652" s="5">
        <v>0</v>
      </c>
      <c r="D652" s="6">
        <v>0</v>
      </c>
      <c r="E652" s="7">
        <f t="shared" si="10"/>
        <v>0</v>
      </c>
      <c r="F652" s="8" t="s">
        <v>8</v>
      </c>
    </row>
    <row r="653" spans="1:6" ht="18" customHeight="1">
      <c r="A653" s="4" t="s">
        <v>17</v>
      </c>
      <c r="B653" s="4" t="str">
        <f>"2020023211"</f>
        <v>2020023211</v>
      </c>
      <c r="C653" s="5">
        <v>0</v>
      </c>
      <c r="D653" s="6">
        <v>0</v>
      </c>
      <c r="E653" s="7">
        <f t="shared" si="10"/>
        <v>0</v>
      </c>
      <c r="F653" s="8" t="s">
        <v>8</v>
      </c>
    </row>
    <row r="654" spans="1:6" ht="18" customHeight="1">
      <c r="A654" s="4" t="s">
        <v>17</v>
      </c>
      <c r="B654" s="4" t="str">
        <f>"2020030411"</f>
        <v>2020030411</v>
      </c>
      <c r="C654" s="5">
        <v>0</v>
      </c>
      <c r="D654" s="6">
        <v>0</v>
      </c>
      <c r="E654" s="7">
        <f t="shared" si="10"/>
        <v>0</v>
      </c>
      <c r="F654" s="8" t="s">
        <v>8</v>
      </c>
    </row>
    <row r="655" spans="1:6" ht="18" customHeight="1">
      <c r="A655" s="4" t="s">
        <v>17</v>
      </c>
      <c r="B655" s="4" t="str">
        <f>"2020030713"</f>
        <v>2020030713</v>
      </c>
      <c r="C655" s="5">
        <v>0</v>
      </c>
      <c r="D655" s="6">
        <v>0</v>
      </c>
      <c r="E655" s="7">
        <f t="shared" si="10"/>
        <v>0</v>
      </c>
      <c r="F655" s="8" t="s">
        <v>8</v>
      </c>
    </row>
    <row r="656" spans="1:6" ht="18" customHeight="1">
      <c r="A656" s="4" t="s">
        <v>17</v>
      </c>
      <c r="B656" s="4" t="str">
        <f>"2020031330"</f>
        <v>2020031330</v>
      </c>
      <c r="C656" s="5">
        <v>0</v>
      </c>
      <c r="D656" s="6">
        <v>0</v>
      </c>
      <c r="E656" s="7">
        <f t="shared" si="10"/>
        <v>0</v>
      </c>
      <c r="F656" s="8" t="s">
        <v>8</v>
      </c>
    </row>
    <row r="657" spans="1:6" ht="18" customHeight="1">
      <c r="A657" s="4" t="s">
        <v>17</v>
      </c>
      <c r="B657" s="4" t="str">
        <f>"2020040727"</f>
        <v>2020040727</v>
      </c>
      <c r="C657" s="5">
        <v>0</v>
      </c>
      <c r="D657" s="6">
        <v>0</v>
      </c>
      <c r="E657" s="7">
        <f t="shared" si="10"/>
        <v>0</v>
      </c>
      <c r="F657" s="8" t="s">
        <v>8</v>
      </c>
    </row>
    <row r="658" spans="1:6" ht="18" customHeight="1">
      <c r="A658" s="4" t="s">
        <v>17</v>
      </c>
      <c r="B658" s="4" t="str">
        <f>"2020042111"</f>
        <v>2020042111</v>
      </c>
      <c r="C658" s="5">
        <v>0</v>
      </c>
      <c r="D658" s="6">
        <v>0</v>
      </c>
      <c r="E658" s="7">
        <f t="shared" si="10"/>
        <v>0</v>
      </c>
      <c r="F658" s="8" t="s">
        <v>8</v>
      </c>
    </row>
    <row r="659" spans="1:6" ht="18" customHeight="1">
      <c r="A659" s="4" t="s">
        <v>17</v>
      </c>
      <c r="B659" s="4" t="str">
        <f>"2020043029"</f>
        <v>2020043029</v>
      </c>
      <c r="C659" s="5">
        <v>0</v>
      </c>
      <c r="D659" s="6">
        <v>0</v>
      </c>
      <c r="E659" s="7">
        <f t="shared" si="10"/>
        <v>0</v>
      </c>
      <c r="F659" s="8" t="s">
        <v>8</v>
      </c>
    </row>
    <row r="660" spans="1:6" ht="18" customHeight="1">
      <c r="A660" s="4" t="s">
        <v>17</v>
      </c>
      <c r="B660" s="4" t="str">
        <f>"2020045729"</f>
        <v>2020045729</v>
      </c>
      <c r="C660" s="5">
        <v>0</v>
      </c>
      <c r="D660" s="6">
        <v>0</v>
      </c>
      <c r="E660" s="7">
        <f t="shared" si="10"/>
        <v>0</v>
      </c>
      <c r="F660" s="8" t="s">
        <v>8</v>
      </c>
    </row>
    <row r="661" spans="1:6" ht="18" customHeight="1">
      <c r="A661" s="4" t="s">
        <v>17</v>
      </c>
      <c r="B661" s="4" t="str">
        <f>"2020047418"</f>
        <v>2020047418</v>
      </c>
      <c r="C661" s="5">
        <v>0</v>
      </c>
      <c r="D661" s="6">
        <v>0</v>
      </c>
      <c r="E661" s="7">
        <f t="shared" si="10"/>
        <v>0</v>
      </c>
      <c r="F661" s="8" t="s">
        <v>8</v>
      </c>
    </row>
    <row r="662" spans="1:6" ht="18" customHeight="1">
      <c r="A662" s="4" t="s">
        <v>18</v>
      </c>
      <c r="B662" s="4" t="str">
        <f>"2020044215"</f>
        <v>2020044215</v>
      </c>
      <c r="C662" s="5">
        <v>70.3</v>
      </c>
      <c r="D662" s="6">
        <v>77.5</v>
      </c>
      <c r="E662" s="7">
        <f t="shared" si="10"/>
        <v>147.80000000000001</v>
      </c>
      <c r="F662" s="8"/>
    </row>
    <row r="663" spans="1:6" ht="18" customHeight="1">
      <c r="A663" s="4" t="s">
        <v>18</v>
      </c>
      <c r="B663" s="4" t="str">
        <f>"2020024025"</f>
        <v>2020024025</v>
      </c>
      <c r="C663" s="5">
        <v>69.7</v>
      </c>
      <c r="D663" s="6">
        <v>73</v>
      </c>
      <c r="E663" s="7">
        <f t="shared" si="10"/>
        <v>142.69999999999999</v>
      </c>
      <c r="F663" s="8"/>
    </row>
    <row r="664" spans="1:6" ht="18" customHeight="1">
      <c r="A664" s="4" t="s">
        <v>18</v>
      </c>
      <c r="B664" s="4" t="str">
        <f>"2020046827"</f>
        <v>2020046827</v>
      </c>
      <c r="C664" s="5">
        <v>67.2</v>
      </c>
      <c r="D664" s="6">
        <v>71</v>
      </c>
      <c r="E664" s="7">
        <f t="shared" si="10"/>
        <v>138.19999999999999</v>
      </c>
      <c r="F664" s="8"/>
    </row>
    <row r="665" spans="1:6" ht="18" customHeight="1">
      <c r="A665" s="4" t="s">
        <v>18</v>
      </c>
      <c r="B665" s="4" t="str">
        <f>"2020031529"</f>
        <v>2020031529</v>
      </c>
      <c r="C665" s="5">
        <v>67.599999999999994</v>
      </c>
      <c r="D665" s="6">
        <v>68.5</v>
      </c>
      <c r="E665" s="7">
        <f t="shared" si="10"/>
        <v>136.1</v>
      </c>
      <c r="F665" s="8"/>
    </row>
    <row r="666" spans="1:6" ht="18" customHeight="1">
      <c r="A666" s="4" t="s">
        <v>18</v>
      </c>
      <c r="B666" s="4" t="str">
        <f>"2020046826"</f>
        <v>2020046826</v>
      </c>
      <c r="C666" s="5">
        <v>75.400000000000006</v>
      </c>
      <c r="D666" s="6">
        <v>60.5</v>
      </c>
      <c r="E666" s="7">
        <f t="shared" si="10"/>
        <v>135.9</v>
      </c>
      <c r="F666" s="8"/>
    </row>
    <row r="667" spans="1:6" ht="18" customHeight="1">
      <c r="A667" s="4" t="s">
        <v>18</v>
      </c>
      <c r="B667" s="4" t="str">
        <f>"2020042527"</f>
        <v>2020042527</v>
      </c>
      <c r="C667" s="5">
        <v>65.400000000000006</v>
      </c>
      <c r="D667" s="6">
        <v>69</v>
      </c>
      <c r="E667" s="7">
        <f t="shared" si="10"/>
        <v>134.4</v>
      </c>
      <c r="F667" s="8"/>
    </row>
    <row r="668" spans="1:6" ht="18" customHeight="1">
      <c r="A668" s="4" t="s">
        <v>18</v>
      </c>
      <c r="B668" s="4" t="str">
        <f>"2020046122"</f>
        <v>2020046122</v>
      </c>
      <c r="C668" s="5">
        <v>66.2</v>
      </c>
      <c r="D668" s="6">
        <v>67.5</v>
      </c>
      <c r="E668" s="7">
        <f t="shared" si="10"/>
        <v>133.69999999999999</v>
      </c>
      <c r="F668" s="8"/>
    </row>
    <row r="669" spans="1:6" ht="18" customHeight="1">
      <c r="A669" s="4" t="s">
        <v>18</v>
      </c>
      <c r="B669" s="4" t="str">
        <f>"2020031715"</f>
        <v>2020031715</v>
      </c>
      <c r="C669" s="5">
        <v>67.3</v>
      </c>
      <c r="D669" s="6">
        <v>65.5</v>
      </c>
      <c r="E669" s="7">
        <f t="shared" si="10"/>
        <v>132.80000000000001</v>
      </c>
      <c r="F669" s="8"/>
    </row>
    <row r="670" spans="1:6" ht="18" customHeight="1">
      <c r="A670" s="4" t="s">
        <v>18</v>
      </c>
      <c r="B670" s="4" t="str">
        <f>"2020033309"</f>
        <v>2020033309</v>
      </c>
      <c r="C670" s="5">
        <v>65.900000000000006</v>
      </c>
      <c r="D670" s="6">
        <v>64.5</v>
      </c>
      <c r="E670" s="7">
        <f t="shared" si="10"/>
        <v>130.4</v>
      </c>
      <c r="F670" s="8"/>
    </row>
    <row r="671" spans="1:6" ht="18" customHeight="1">
      <c r="A671" s="4" t="s">
        <v>18</v>
      </c>
      <c r="B671" s="4" t="str">
        <f>"2020012216"</f>
        <v>2020012216</v>
      </c>
      <c r="C671" s="5">
        <v>69.5</v>
      </c>
      <c r="D671" s="6">
        <v>58.5</v>
      </c>
      <c r="E671" s="7">
        <f t="shared" si="10"/>
        <v>128</v>
      </c>
      <c r="F671" s="8"/>
    </row>
    <row r="672" spans="1:6" ht="18" customHeight="1">
      <c r="A672" s="4" t="s">
        <v>18</v>
      </c>
      <c r="B672" s="4" t="str">
        <f>"2020042322"</f>
        <v>2020042322</v>
      </c>
      <c r="C672" s="5">
        <v>61.9</v>
      </c>
      <c r="D672" s="6">
        <v>65</v>
      </c>
      <c r="E672" s="7">
        <f t="shared" si="10"/>
        <v>126.9</v>
      </c>
      <c r="F672" s="8"/>
    </row>
    <row r="673" spans="1:6" ht="18" customHeight="1">
      <c r="A673" s="4" t="s">
        <v>18</v>
      </c>
      <c r="B673" s="4" t="str">
        <f>"2020041224"</f>
        <v>2020041224</v>
      </c>
      <c r="C673" s="5">
        <v>68.2</v>
      </c>
      <c r="D673" s="6">
        <v>57</v>
      </c>
      <c r="E673" s="7">
        <f t="shared" si="10"/>
        <v>125.2</v>
      </c>
      <c r="F673" s="8"/>
    </row>
    <row r="674" spans="1:6" ht="18" customHeight="1">
      <c r="A674" s="4" t="s">
        <v>18</v>
      </c>
      <c r="B674" s="4" t="str">
        <f>"2020022815"</f>
        <v>2020022815</v>
      </c>
      <c r="C674" s="5">
        <v>64.3</v>
      </c>
      <c r="D674" s="6">
        <v>60.5</v>
      </c>
      <c r="E674" s="7">
        <f t="shared" si="10"/>
        <v>124.8</v>
      </c>
      <c r="F674" s="8"/>
    </row>
    <row r="675" spans="1:6" ht="18" customHeight="1">
      <c r="A675" s="4" t="s">
        <v>18</v>
      </c>
      <c r="B675" s="4" t="str">
        <f>"2020013601"</f>
        <v>2020013601</v>
      </c>
      <c r="C675" s="5">
        <v>67.599999999999994</v>
      </c>
      <c r="D675" s="6">
        <v>57</v>
      </c>
      <c r="E675" s="7">
        <f t="shared" si="10"/>
        <v>124.6</v>
      </c>
      <c r="F675" s="8"/>
    </row>
    <row r="676" spans="1:6" ht="18" customHeight="1">
      <c r="A676" s="4" t="s">
        <v>18</v>
      </c>
      <c r="B676" s="4" t="str">
        <f>"2020040209"</f>
        <v>2020040209</v>
      </c>
      <c r="C676" s="5">
        <v>64.599999999999994</v>
      </c>
      <c r="D676" s="6">
        <v>58.5</v>
      </c>
      <c r="E676" s="7">
        <f t="shared" si="10"/>
        <v>123.1</v>
      </c>
      <c r="F676" s="8"/>
    </row>
    <row r="677" spans="1:6" ht="18" customHeight="1">
      <c r="A677" s="4" t="s">
        <v>18</v>
      </c>
      <c r="B677" s="4" t="str">
        <f>"2020020812"</f>
        <v>2020020812</v>
      </c>
      <c r="C677" s="5">
        <v>65.3</v>
      </c>
      <c r="D677" s="6">
        <v>57</v>
      </c>
      <c r="E677" s="7">
        <f t="shared" si="10"/>
        <v>122.3</v>
      </c>
      <c r="F677" s="8"/>
    </row>
    <row r="678" spans="1:6" ht="18" customHeight="1">
      <c r="A678" s="4" t="s">
        <v>18</v>
      </c>
      <c r="B678" s="4" t="str">
        <f>"2020013423"</f>
        <v>2020013423</v>
      </c>
      <c r="C678" s="5">
        <v>64.8</v>
      </c>
      <c r="D678" s="6">
        <v>57.5</v>
      </c>
      <c r="E678" s="7">
        <f t="shared" si="10"/>
        <v>122.3</v>
      </c>
      <c r="F678" s="8"/>
    </row>
    <row r="679" spans="1:6" ht="18" customHeight="1">
      <c r="A679" s="4" t="s">
        <v>18</v>
      </c>
      <c r="B679" s="4" t="str">
        <f>"2020030407"</f>
        <v>2020030407</v>
      </c>
      <c r="C679" s="5">
        <v>57.6</v>
      </c>
      <c r="D679" s="6">
        <v>64.5</v>
      </c>
      <c r="E679" s="7">
        <f t="shared" si="10"/>
        <v>122.1</v>
      </c>
      <c r="F679" s="8"/>
    </row>
    <row r="680" spans="1:6" ht="18" customHeight="1">
      <c r="A680" s="4" t="s">
        <v>18</v>
      </c>
      <c r="B680" s="4" t="str">
        <f>"2020046529"</f>
        <v>2020046529</v>
      </c>
      <c r="C680" s="5">
        <v>67.5</v>
      </c>
      <c r="D680" s="6">
        <v>54</v>
      </c>
      <c r="E680" s="7">
        <f t="shared" si="10"/>
        <v>121.5</v>
      </c>
      <c r="F680" s="8"/>
    </row>
    <row r="681" spans="1:6" ht="18" customHeight="1">
      <c r="A681" s="4" t="s">
        <v>18</v>
      </c>
      <c r="B681" s="4" t="str">
        <f>"2020044416"</f>
        <v>2020044416</v>
      </c>
      <c r="C681" s="5">
        <v>64.5</v>
      </c>
      <c r="D681" s="6">
        <v>56.5</v>
      </c>
      <c r="E681" s="7">
        <f t="shared" si="10"/>
        <v>121</v>
      </c>
      <c r="F681" s="8"/>
    </row>
    <row r="682" spans="1:6" ht="18" customHeight="1">
      <c r="A682" s="4" t="s">
        <v>18</v>
      </c>
      <c r="B682" s="4" t="str">
        <f>"2020022225"</f>
        <v>2020022225</v>
      </c>
      <c r="C682" s="5">
        <v>61.2</v>
      </c>
      <c r="D682" s="6">
        <v>59.5</v>
      </c>
      <c r="E682" s="7">
        <f t="shared" si="10"/>
        <v>120.7</v>
      </c>
      <c r="F682" s="8"/>
    </row>
    <row r="683" spans="1:6" ht="18" customHeight="1">
      <c r="A683" s="4" t="s">
        <v>18</v>
      </c>
      <c r="B683" s="4" t="str">
        <f>"2020030606"</f>
        <v>2020030606</v>
      </c>
      <c r="C683" s="5">
        <v>67.7</v>
      </c>
      <c r="D683" s="6">
        <v>49</v>
      </c>
      <c r="E683" s="7">
        <f t="shared" si="10"/>
        <v>116.7</v>
      </c>
      <c r="F683" s="8"/>
    </row>
    <row r="684" spans="1:6" ht="18" customHeight="1">
      <c r="A684" s="4" t="s">
        <v>18</v>
      </c>
      <c r="B684" s="4" t="str">
        <f>"2020033026"</f>
        <v>2020033026</v>
      </c>
      <c r="C684" s="5">
        <v>60</v>
      </c>
      <c r="D684" s="6">
        <v>55</v>
      </c>
      <c r="E684" s="7">
        <f t="shared" si="10"/>
        <v>115</v>
      </c>
      <c r="F684" s="8"/>
    </row>
    <row r="685" spans="1:6" ht="18" customHeight="1">
      <c r="A685" s="4" t="s">
        <v>18</v>
      </c>
      <c r="B685" s="4" t="str">
        <f>"2020043020"</f>
        <v>2020043020</v>
      </c>
      <c r="C685" s="5">
        <v>60.4</v>
      </c>
      <c r="D685" s="6">
        <v>52.5</v>
      </c>
      <c r="E685" s="7">
        <f t="shared" si="10"/>
        <v>112.9</v>
      </c>
      <c r="F685" s="8"/>
    </row>
    <row r="686" spans="1:6" ht="18" customHeight="1">
      <c r="A686" s="4" t="s">
        <v>18</v>
      </c>
      <c r="B686" s="4" t="str">
        <f>"2020030309"</f>
        <v>2020030309</v>
      </c>
      <c r="C686" s="5">
        <v>60.1</v>
      </c>
      <c r="D686" s="6">
        <v>52</v>
      </c>
      <c r="E686" s="7">
        <f t="shared" si="10"/>
        <v>112.1</v>
      </c>
      <c r="F686" s="8"/>
    </row>
    <row r="687" spans="1:6" ht="18" customHeight="1">
      <c r="A687" s="4" t="s">
        <v>18</v>
      </c>
      <c r="B687" s="4" t="str">
        <f>"2020010317"</f>
        <v>2020010317</v>
      </c>
      <c r="C687" s="5">
        <v>59.1</v>
      </c>
      <c r="D687" s="6">
        <v>52.5</v>
      </c>
      <c r="E687" s="7">
        <f t="shared" si="10"/>
        <v>111.6</v>
      </c>
      <c r="F687" s="8"/>
    </row>
    <row r="688" spans="1:6" ht="18" customHeight="1">
      <c r="A688" s="4" t="s">
        <v>18</v>
      </c>
      <c r="B688" s="4" t="str">
        <f>"2020013805"</f>
        <v>2020013805</v>
      </c>
      <c r="C688" s="5">
        <v>56</v>
      </c>
      <c r="D688" s="6">
        <v>55.5</v>
      </c>
      <c r="E688" s="7">
        <f t="shared" si="10"/>
        <v>111.5</v>
      </c>
      <c r="F688" s="8"/>
    </row>
    <row r="689" spans="1:6" ht="18" customHeight="1">
      <c r="A689" s="4" t="s">
        <v>18</v>
      </c>
      <c r="B689" s="4" t="str">
        <f>"2020041608"</f>
        <v>2020041608</v>
      </c>
      <c r="C689" s="5">
        <v>57.1</v>
      </c>
      <c r="D689" s="6">
        <v>54</v>
      </c>
      <c r="E689" s="7">
        <f t="shared" si="10"/>
        <v>111.1</v>
      </c>
      <c r="F689" s="8"/>
    </row>
    <row r="690" spans="1:6" ht="18" customHeight="1">
      <c r="A690" s="4" t="s">
        <v>18</v>
      </c>
      <c r="B690" s="4" t="str">
        <f>"2020022727"</f>
        <v>2020022727</v>
      </c>
      <c r="C690" s="5">
        <v>60.9</v>
      </c>
      <c r="D690" s="6">
        <v>49</v>
      </c>
      <c r="E690" s="7">
        <f t="shared" si="10"/>
        <v>109.9</v>
      </c>
      <c r="F690" s="8"/>
    </row>
    <row r="691" spans="1:6" ht="18" customHeight="1">
      <c r="A691" s="4" t="s">
        <v>18</v>
      </c>
      <c r="B691" s="4" t="str">
        <f>"2020040111"</f>
        <v>2020040111</v>
      </c>
      <c r="C691" s="5">
        <v>58.3</v>
      </c>
      <c r="D691" s="6">
        <v>51.5</v>
      </c>
      <c r="E691" s="7">
        <f t="shared" si="10"/>
        <v>109.8</v>
      </c>
      <c r="F691" s="8"/>
    </row>
    <row r="692" spans="1:6" ht="18" customHeight="1">
      <c r="A692" s="4" t="s">
        <v>18</v>
      </c>
      <c r="B692" s="4" t="str">
        <f>"2020042206"</f>
        <v>2020042206</v>
      </c>
      <c r="C692" s="5">
        <v>51.5</v>
      </c>
      <c r="D692" s="6">
        <v>58</v>
      </c>
      <c r="E692" s="7">
        <f t="shared" si="10"/>
        <v>109.5</v>
      </c>
      <c r="F692" s="8"/>
    </row>
    <row r="693" spans="1:6" ht="18" customHeight="1">
      <c r="A693" s="4" t="s">
        <v>18</v>
      </c>
      <c r="B693" s="4" t="str">
        <f>"2020024712"</f>
        <v>2020024712</v>
      </c>
      <c r="C693" s="5">
        <v>50.5</v>
      </c>
      <c r="D693" s="6">
        <v>58.5</v>
      </c>
      <c r="E693" s="7">
        <f t="shared" si="10"/>
        <v>109</v>
      </c>
      <c r="F693" s="8"/>
    </row>
    <row r="694" spans="1:6" ht="18" customHeight="1">
      <c r="A694" s="4" t="s">
        <v>18</v>
      </c>
      <c r="B694" s="4" t="str">
        <f>"2020034012"</f>
        <v>2020034012</v>
      </c>
      <c r="C694" s="5">
        <v>61.2</v>
      </c>
      <c r="D694" s="6">
        <v>47.5</v>
      </c>
      <c r="E694" s="7">
        <f t="shared" si="10"/>
        <v>108.7</v>
      </c>
      <c r="F694" s="8"/>
    </row>
    <row r="695" spans="1:6" ht="18" customHeight="1">
      <c r="A695" s="4" t="s">
        <v>18</v>
      </c>
      <c r="B695" s="4" t="str">
        <f>"2020011230"</f>
        <v>2020011230</v>
      </c>
      <c r="C695" s="5">
        <v>56.3</v>
      </c>
      <c r="D695" s="6">
        <v>50</v>
      </c>
      <c r="E695" s="7">
        <f t="shared" si="10"/>
        <v>106.3</v>
      </c>
      <c r="F695" s="8"/>
    </row>
    <row r="696" spans="1:6" ht="18" customHeight="1">
      <c r="A696" s="4" t="s">
        <v>18</v>
      </c>
      <c r="B696" s="4" t="str">
        <f>"2020011205"</f>
        <v>2020011205</v>
      </c>
      <c r="C696" s="5">
        <v>58.1</v>
      </c>
      <c r="D696" s="6">
        <v>48</v>
      </c>
      <c r="E696" s="7">
        <f t="shared" si="10"/>
        <v>106.1</v>
      </c>
      <c r="F696" s="8"/>
    </row>
    <row r="697" spans="1:6" ht="18" customHeight="1">
      <c r="A697" s="4" t="s">
        <v>18</v>
      </c>
      <c r="B697" s="4" t="str">
        <f>"2020042708"</f>
        <v>2020042708</v>
      </c>
      <c r="C697" s="5">
        <v>55.9</v>
      </c>
      <c r="D697" s="6">
        <v>50</v>
      </c>
      <c r="E697" s="7">
        <f t="shared" si="10"/>
        <v>105.9</v>
      </c>
      <c r="F697" s="8"/>
    </row>
    <row r="698" spans="1:6" ht="18" customHeight="1">
      <c r="A698" s="4" t="s">
        <v>18</v>
      </c>
      <c r="B698" s="4" t="str">
        <f>"2020022012"</f>
        <v>2020022012</v>
      </c>
      <c r="C698" s="5">
        <v>53.8</v>
      </c>
      <c r="D698" s="6">
        <v>50.5</v>
      </c>
      <c r="E698" s="7">
        <f t="shared" si="10"/>
        <v>104.3</v>
      </c>
      <c r="F698" s="8"/>
    </row>
    <row r="699" spans="1:6" ht="18" customHeight="1">
      <c r="A699" s="4" t="s">
        <v>18</v>
      </c>
      <c r="B699" s="4" t="str">
        <f>"2020046817"</f>
        <v>2020046817</v>
      </c>
      <c r="C699" s="5">
        <v>50.8</v>
      </c>
      <c r="D699" s="6">
        <v>51.5</v>
      </c>
      <c r="E699" s="7">
        <f t="shared" si="10"/>
        <v>102.3</v>
      </c>
      <c r="F699" s="8"/>
    </row>
    <row r="700" spans="1:6" ht="18" customHeight="1">
      <c r="A700" s="4" t="s">
        <v>18</v>
      </c>
      <c r="B700" s="4" t="str">
        <f>"2020020225"</f>
        <v>2020020225</v>
      </c>
      <c r="C700" s="5">
        <v>56.5</v>
      </c>
      <c r="D700" s="6">
        <v>45</v>
      </c>
      <c r="E700" s="7">
        <f t="shared" si="10"/>
        <v>101.5</v>
      </c>
      <c r="F700" s="8"/>
    </row>
    <row r="701" spans="1:6" ht="18" customHeight="1">
      <c r="A701" s="4" t="s">
        <v>18</v>
      </c>
      <c r="B701" s="4" t="str">
        <f>"2020021208"</f>
        <v>2020021208</v>
      </c>
      <c r="C701" s="5">
        <v>57.7</v>
      </c>
      <c r="D701" s="6">
        <v>43</v>
      </c>
      <c r="E701" s="7">
        <f t="shared" si="10"/>
        <v>100.7</v>
      </c>
      <c r="F701" s="8"/>
    </row>
    <row r="702" spans="1:6" ht="18" customHeight="1">
      <c r="A702" s="4" t="s">
        <v>18</v>
      </c>
      <c r="B702" s="4" t="str">
        <f>"2020043210"</f>
        <v>2020043210</v>
      </c>
      <c r="C702" s="5">
        <v>61.3</v>
      </c>
      <c r="D702" s="6">
        <v>39</v>
      </c>
      <c r="E702" s="7">
        <f t="shared" si="10"/>
        <v>100.3</v>
      </c>
      <c r="F702" s="8"/>
    </row>
    <row r="703" spans="1:6" ht="18" customHeight="1">
      <c r="A703" s="4" t="s">
        <v>18</v>
      </c>
      <c r="B703" s="4" t="str">
        <f>"2020010201"</f>
        <v>2020010201</v>
      </c>
      <c r="C703" s="5">
        <v>52.3</v>
      </c>
      <c r="D703" s="6">
        <v>48</v>
      </c>
      <c r="E703" s="7">
        <f t="shared" si="10"/>
        <v>100.3</v>
      </c>
      <c r="F703" s="8"/>
    </row>
    <row r="704" spans="1:6" ht="18" customHeight="1">
      <c r="A704" s="4" t="s">
        <v>18</v>
      </c>
      <c r="B704" s="4" t="str">
        <f>"2020030920"</f>
        <v>2020030920</v>
      </c>
      <c r="C704" s="5">
        <v>58.7</v>
      </c>
      <c r="D704" s="6">
        <v>40</v>
      </c>
      <c r="E704" s="7">
        <f t="shared" si="10"/>
        <v>98.7</v>
      </c>
      <c r="F704" s="8"/>
    </row>
    <row r="705" spans="1:6" ht="18" customHeight="1">
      <c r="A705" s="4" t="s">
        <v>18</v>
      </c>
      <c r="B705" s="4" t="str">
        <f>"2020030114"</f>
        <v>2020030114</v>
      </c>
      <c r="C705" s="5">
        <v>52.6</v>
      </c>
      <c r="D705" s="6">
        <v>45.5</v>
      </c>
      <c r="E705" s="7">
        <f t="shared" si="10"/>
        <v>98.1</v>
      </c>
      <c r="F705" s="8"/>
    </row>
    <row r="706" spans="1:6" ht="18" customHeight="1">
      <c r="A706" s="4" t="s">
        <v>18</v>
      </c>
      <c r="B706" s="4" t="str">
        <f>"2020012502"</f>
        <v>2020012502</v>
      </c>
      <c r="C706" s="5">
        <v>56.1</v>
      </c>
      <c r="D706" s="6">
        <v>41.5</v>
      </c>
      <c r="E706" s="7">
        <f t="shared" si="10"/>
        <v>97.6</v>
      </c>
      <c r="F706" s="8"/>
    </row>
    <row r="707" spans="1:6" ht="18" customHeight="1">
      <c r="A707" s="4" t="s">
        <v>18</v>
      </c>
      <c r="B707" s="4" t="str">
        <f>"2020021024"</f>
        <v>2020021024</v>
      </c>
      <c r="C707" s="5">
        <v>53.3</v>
      </c>
      <c r="D707" s="6">
        <v>44</v>
      </c>
      <c r="E707" s="7">
        <f t="shared" ref="E707:E770" si="11">SUM(C707:D707)</f>
        <v>97.3</v>
      </c>
      <c r="F707" s="8"/>
    </row>
    <row r="708" spans="1:6" ht="18" customHeight="1">
      <c r="A708" s="4" t="s">
        <v>18</v>
      </c>
      <c r="B708" s="4" t="str">
        <f>"2020023014"</f>
        <v>2020023014</v>
      </c>
      <c r="C708" s="5">
        <v>58.1</v>
      </c>
      <c r="D708" s="6">
        <v>36.5</v>
      </c>
      <c r="E708" s="7">
        <f t="shared" si="11"/>
        <v>94.6</v>
      </c>
      <c r="F708" s="8"/>
    </row>
    <row r="709" spans="1:6" ht="18" customHeight="1">
      <c r="A709" s="4" t="s">
        <v>18</v>
      </c>
      <c r="B709" s="4" t="str">
        <f>"2020043106"</f>
        <v>2020043106</v>
      </c>
      <c r="C709" s="5">
        <v>48</v>
      </c>
      <c r="D709" s="6">
        <v>46.5</v>
      </c>
      <c r="E709" s="7">
        <f t="shared" si="11"/>
        <v>94.5</v>
      </c>
      <c r="F709" s="8"/>
    </row>
    <row r="710" spans="1:6" ht="18" customHeight="1">
      <c r="A710" s="4" t="s">
        <v>18</v>
      </c>
      <c r="B710" s="4" t="str">
        <f>"2020031012"</f>
        <v>2020031012</v>
      </c>
      <c r="C710" s="5">
        <v>53.9</v>
      </c>
      <c r="D710" s="6">
        <v>39</v>
      </c>
      <c r="E710" s="7">
        <f t="shared" si="11"/>
        <v>92.9</v>
      </c>
      <c r="F710" s="8"/>
    </row>
    <row r="711" spans="1:6" ht="18" customHeight="1">
      <c r="A711" s="4" t="s">
        <v>18</v>
      </c>
      <c r="B711" s="4" t="str">
        <f>"2020044201"</f>
        <v>2020044201</v>
      </c>
      <c r="C711" s="5">
        <v>47.5</v>
      </c>
      <c r="D711" s="6">
        <v>44.5</v>
      </c>
      <c r="E711" s="7">
        <f t="shared" si="11"/>
        <v>92</v>
      </c>
      <c r="F711" s="8"/>
    </row>
    <row r="712" spans="1:6" ht="18" customHeight="1">
      <c r="A712" s="4" t="s">
        <v>18</v>
      </c>
      <c r="B712" s="4" t="str">
        <f>"2020031101"</f>
        <v>2020031101</v>
      </c>
      <c r="C712" s="5">
        <v>53.2</v>
      </c>
      <c r="D712" s="6">
        <v>38</v>
      </c>
      <c r="E712" s="7">
        <f t="shared" si="11"/>
        <v>91.2</v>
      </c>
      <c r="F712" s="8"/>
    </row>
    <row r="713" spans="1:6" ht="18" customHeight="1">
      <c r="A713" s="4" t="s">
        <v>18</v>
      </c>
      <c r="B713" s="4" t="str">
        <f>"2020013708"</f>
        <v>2020013708</v>
      </c>
      <c r="C713" s="5">
        <v>52.5</v>
      </c>
      <c r="D713" s="6">
        <v>38.5</v>
      </c>
      <c r="E713" s="7">
        <f t="shared" si="11"/>
        <v>91</v>
      </c>
      <c r="F713" s="8"/>
    </row>
    <row r="714" spans="1:6" ht="18" customHeight="1">
      <c r="A714" s="4" t="s">
        <v>18</v>
      </c>
      <c r="B714" s="4" t="str">
        <f>"2020041119"</f>
        <v>2020041119</v>
      </c>
      <c r="C714" s="5">
        <v>48.5</v>
      </c>
      <c r="D714" s="6">
        <v>41.5</v>
      </c>
      <c r="E714" s="7">
        <f t="shared" si="11"/>
        <v>90</v>
      </c>
      <c r="F714" s="8"/>
    </row>
    <row r="715" spans="1:6" ht="18" customHeight="1">
      <c r="A715" s="4" t="s">
        <v>18</v>
      </c>
      <c r="B715" s="4" t="str">
        <f>"2020033014"</f>
        <v>2020033014</v>
      </c>
      <c r="C715" s="5">
        <v>49.2</v>
      </c>
      <c r="D715" s="6">
        <v>36.5</v>
      </c>
      <c r="E715" s="7">
        <f t="shared" si="11"/>
        <v>85.7</v>
      </c>
      <c r="F715" s="8"/>
    </row>
    <row r="716" spans="1:6" ht="18" customHeight="1">
      <c r="A716" s="4" t="s">
        <v>18</v>
      </c>
      <c r="B716" s="4" t="str">
        <f>"2020012103"</f>
        <v>2020012103</v>
      </c>
      <c r="C716" s="5">
        <v>49.6</v>
      </c>
      <c r="D716" s="6">
        <v>33.5</v>
      </c>
      <c r="E716" s="7">
        <f t="shared" si="11"/>
        <v>83.1</v>
      </c>
      <c r="F716" s="8"/>
    </row>
    <row r="717" spans="1:6" ht="18" customHeight="1">
      <c r="A717" s="4" t="s">
        <v>18</v>
      </c>
      <c r="B717" s="4" t="str">
        <f>"2020021018"</f>
        <v>2020021018</v>
      </c>
      <c r="C717" s="5">
        <v>41.2</v>
      </c>
      <c r="D717" s="6">
        <v>31</v>
      </c>
      <c r="E717" s="7">
        <f t="shared" si="11"/>
        <v>72.2</v>
      </c>
      <c r="F717" s="8"/>
    </row>
    <row r="718" spans="1:6" ht="18" customHeight="1">
      <c r="A718" s="4" t="s">
        <v>18</v>
      </c>
      <c r="B718" s="4" t="str">
        <f>"2020031105"</f>
        <v>2020031105</v>
      </c>
      <c r="C718" s="5">
        <v>38.5</v>
      </c>
      <c r="D718" s="6">
        <v>21</v>
      </c>
      <c r="E718" s="7">
        <f t="shared" si="11"/>
        <v>59.5</v>
      </c>
      <c r="F718" s="8"/>
    </row>
    <row r="719" spans="1:6" ht="18" customHeight="1">
      <c r="A719" s="4" t="s">
        <v>18</v>
      </c>
      <c r="B719" s="4" t="str">
        <f>"2020010507"</f>
        <v>2020010507</v>
      </c>
      <c r="C719" s="5">
        <v>0</v>
      </c>
      <c r="D719" s="6">
        <v>0</v>
      </c>
      <c r="E719" s="7">
        <f t="shared" si="11"/>
        <v>0</v>
      </c>
      <c r="F719" s="9" t="s">
        <v>8</v>
      </c>
    </row>
    <row r="720" spans="1:6" ht="18" customHeight="1">
      <c r="A720" s="4" t="s">
        <v>18</v>
      </c>
      <c r="B720" s="4" t="str">
        <f>"2020012402"</f>
        <v>2020012402</v>
      </c>
      <c r="C720" s="5">
        <v>0</v>
      </c>
      <c r="D720" s="6">
        <v>0</v>
      </c>
      <c r="E720" s="7">
        <f t="shared" si="11"/>
        <v>0</v>
      </c>
      <c r="F720" s="9" t="s">
        <v>8</v>
      </c>
    </row>
    <row r="721" spans="1:6" ht="18" customHeight="1">
      <c r="A721" s="4" t="s">
        <v>18</v>
      </c>
      <c r="B721" s="4" t="str">
        <f>"2020013305"</f>
        <v>2020013305</v>
      </c>
      <c r="C721" s="5">
        <v>0</v>
      </c>
      <c r="D721" s="6">
        <v>0</v>
      </c>
      <c r="E721" s="7">
        <f t="shared" si="11"/>
        <v>0</v>
      </c>
      <c r="F721" s="9" t="s">
        <v>8</v>
      </c>
    </row>
    <row r="722" spans="1:6" ht="18" customHeight="1">
      <c r="A722" s="4" t="s">
        <v>18</v>
      </c>
      <c r="B722" s="4" t="str">
        <f>"2020023528"</f>
        <v>2020023528</v>
      </c>
      <c r="C722" s="5">
        <v>0</v>
      </c>
      <c r="D722" s="6">
        <v>0</v>
      </c>
      <c r="E722" s="7">
        <f t="shared" si="11"/>
        <v>0</v>
      </c>
      <c r="F722" s="8" t="s">
        <v>8</v>
      </c>
    </row>
    <row r="723" spans="1:6" ht="18" customHeight="1">
      <c r="A723" s="4" t="s">
        <v>18</v>
      </c>
      <c r="B723" s="4" t="str">
        <f>"2020024708"</f>
        <v>2020024708</v>
      </c>
      <c r="C723" s="5">
        <v>0</v>
      </c>
      <c r="D723" s="6">
        <v>0</v>
      </c>
      <c r="E723" s="7">
        <f t="shared" si="11"/>
        <v>0</v>
      </c>
      <c r="F723" s="8" t="s">
        <v>8</v>
      </c>
    </row>
    <row r="724" spans="1:6" ht="18" customHeight="1">
      <c r="A724" s="4" t="s">
        <v>18</v>
      </c>
      <c r="B724" s="4" t="str">
        <f>"2020033602"</f>
        <v>2020033602</v>
      </c>
      <c r="C724" s="5">
        <v>0</v>
      </c>
      <c r="D724" s="6">
        <v>0</v>
      </c>
      <c r="E724" s="7">
        <f t="shared" si="11"/>
        <v>0</v>
      </c>
      <c r="F724" s="8" t="s">
        <v>8</v>
      </c>
    </row>
    <row r="725" spans="1:6" ht="18" customHeight="1">
      <c r="A725" s="4" t="s">
        <v>18</v>
      </c>
      <c r="B725" s="4" t="str">
        <f>"2020040712"</f>
        <v>2020040712</v>
      </c>
      <c r="C725" s="5">
        <v>0</v>
      </c>
      <c r="D725" s="6">
        <v>0</v>
      </c>
      <c r="E725" s="7">
        <f t="shared" si="11"/>
        <v>0</v>
      </c>
      <c r="F725" s="8" t="s">
        <v>8</v>
      </c>
    </row>
    <row r="726" spans="1:6" ht="18" customHeight="1">
      <c r="A726" s="4" t="s">
        <v>18</v>
      </c>
      <c r="B726" s="4" t="str">
        <f>"2020042820"</f>
        <v>2020042820</v>
      </c>
      <c r="C726" s="5">
        <v>0</v>
      </c>
      <c r="D726" s="6">
        <v>0</v>
      </c>
      <c r="E726" s="7">
        <f t="shared" si="11"/>
        <v>0</v>
      </c>
      <c r="F726" s="8" t="s">
        <v>8</v>
      </c>
    </row>
    <row r="727" spans="1:6" ht="18" customHeight="1">
      <c r="A727" s="4" t="s">
        <v>18</v>
      </c>
      <c r="B727" s="4" t="str">
        <f>"2020046707"</f>
        <v>2020046707</v>
      </c>
      <c r="C727" s="5">
        <v>0</v>
      </c>
      <c r="D727" s="6">
        <v>0</v>
      </c>
      <c r="E727" s="7">
        <f t="shared" si="11"/>
        <v>0</v>
      </c>
      <c r="F727" s="8" t="s">
        <v>8</v>
      </c>
    </row>
    <row r="728" spans="1:6" ht="18" customHeight="1">
      <c r="A728" s="4" t="s">
        <v>18</v>
      </c>
      <c r="B728" s="4" t="str">
        <f>"2020046909"</f>
        <v>2020046909</v>
      </c>
      <c r="C728" s="5">
        <v>0</v>
      </c>
      <c r="D728" s="6">
        <v>0</v>
      </c>
      <c r="E728" s="7">
        <f t="shared" si="11"/>
        <v>0</v>
      </c>
      <c r="F728" s="8" t="s">
        <v>8</v>
      </c>
    </row>
    <row r="729" spans="1:6" ht="18" customHeight="1">
      <c r="A729" s="4" t="s">
        <v>19</v>
      </c>
      <c r="B729" s="4" t="str">
        <f>"2020046602"</f>
        <v>2020046602</v>
      </c>
      <c r="C729" s="5">
        <v>76.3</v>
      </c>
      <c r="D729" s="6">
        <v>67.5</v>
      </c>
      <c r="E729" s="7">
        <f t="shared" si="11"/>
        <v>143.80000000000001</v>
      </c>
      <c r="F729" s="8"/>
    </row>
    <row r="730" spans="1:6" ht="18" customHeight="1">
      <c r="A730" s="4" t="s">
        <v>19</v>
      </c>
      <c r="B730" s="4" t="str">
        <f>"2020013513"</f>
        <v>2020013513</v>
      </c>
      <c r="C730" s="5">
        <v>66.8</v>
      </c>
      <c r="D730" s="6">
        <v>75.5</v>
      </c>
      <c r="E730" s="7">
        <f t="shared" si="11"/>
        <v>142.30000000000001</v>
      </c>
      <c r="F730" s="8"/>
    </row>
    <row r="731" spans="1:6" ht="18" customHeight="1">
      <c r="A731" s="4" t="s">
        <v>19</v>
      </c>
      <c r="B731" s="4" t="str">
        <f>"2020010928"</f>
        <v>2020010928</v>
      </c>
      <c r="C731" s="5">
        <v>71.3</v>
      </c>
      <c r="D731" s="6">
        <v>62</v>
      </c>
      <c r="E731" s="7">
        <f t="shared" si="11"/>
        <v>133.30000000000001</v>
      </c>
      <c r="F731" s="8"/>
    </row>
    <row r="732" spans="1:6" ht="18" customHeight="1">
      <c r="A732" s="4" t="s">
        <v>19</v>
      </c>
      <c r="B732" s="4" t="str">
        <f>"2020030323"</f>
        <v>2020030323</v>
      </c>
      <c r="C732" s="5">
        <v>65.5</v>
      </c>
      <c r="D732" s="6">
        <v>64</v>
      </c>
      <c r="E732" s="7">
        <f t="shared" si="11"/>
        <v>129.5</v>
      </c>
      <c r="F732" s="8"/>
    </row>
    <row r="733" spans="1:6" ht="18" customHeight="1">
      <c r="A733" s="4" t="s">
        <v>19</v>
      </c>
      <c r="B733" s="4" t="str">
        <f>"2020021802"</f>
        <v>2020021802</v>
      </c>
      <c r="C733" s="5">
        <v>60.9</v>
      </c>
      <c r="D733" s="6">
        <v>68.5</v>
      </c>
      <c r="E733" s="7">
        <f t="shared" si="11"/>
        <v>129.4</v>
      </c>
      <c r="F733" s="8"/>
    </row>
    <row r="734" spans="1:6" ht="18" customHeight="1">
      <c r="A734" s="4" t="s">
        <v>19</v>
      </c>
      <c r="B734" s="4" t="str">
        <f>"2020022811"</f>
        <v>2020022811</v>
      </c>
      <c r="C734" s="5">
        <v>66.3</v>
      </c>
      <c r="D734" s="6">
        <v>62.5</v>
      </c>
      <c r="E734" s="7">
        <f t="shared" si="11"/>
        <v>128.80000000000001</v>
      </c>
      <c r="F734" s="8"/>
    </row>
    <row r="735" spans="1:6" ht="18" customHeight="1">
      <c r="A735" s="4" t="s">
        <v>19</v>
      </c>
      <c r="B735" s="4" t="str">
        <f>"2020044723"</f>
        <v>2020044723</v>
      </c>
      <c r="C735" s="5">
        <v>61.1</v>
      </c>
      <c r="D735" s="6">
        <v>65</v>
      </c>
      <c r="E735" s="7">
        <f t="shared" si="11"/>
        <v>126.1</v>
      </c>
      <c r="F735" s="8"/>
    </row>
    <row r="736" spans="1:6" ht="18" customHeight="1">
      <c r="A736" s="4" t="s">
        <v>19</v>
      </c>
      <c r="B736" s="4" t="str">
        <f>"2020042905"</f>
        <v>2020042905</v>
      </c>
      <c r="C736" s="5">
        <v>60.4</v>
      </c>
      <c r="D736" s="6">
        <v>65.5</v>
      </c>
      <c r="E736" s="7">
        <f t="shared" si="11"/>
        <v>125.9</v>
      </c>
      <c r="F736" s="8"/>
    </row>
    <row r="737" spans="1:6" ht="18" customHeight="1">
      <c r="A737" s="4" t="s">
        <v>19</v>
      </c>
      <c r="B737" s="4" t="str">
        <f>"2020010430"</f>
        <v>2020010430</v>
      </c>
      <c r="C737" s="5">
        <v>57.5</v>
      </c>
      <c r="D737" s="6">
        <v>68</v>
      </c>
      <c r="E737" s="7">
        <f t="shared" si="11"/>
        <v>125.5</v>
      </c>
      <c r="F737" s="8"/>
    </row>
    <row r="738" spans="1:6" ht="18" customHeight="1">
      <c r="A738" s="4" t="s">
        <v>19</v>
      </c>
      <c r="B738" s="4" t="str">
        <f>"2020044015"</f>
        <v>2020044015</v>
      </c>
      <c r="C738" s="5">
        <v>60.3</v>
      </c>
      <c r="D738" s="6">
        <v>65</v>
      </c>
      <c r="E738" s="7">
        <f t="shared" si="11"/>
        <v>125.3</v>
      </c>
      <c r="F738" s="8"/>
    </row>
    <row r="739" spans="1:6" ht="18" customHeight="1">
      <c r="A739" s="4" t="s">
        <v>19</v>
      </c>
      <c r="B739" s="4" t="str">
        <f>"2020011005"</f>
        <v>2020011005</v>
      </c>
      <c r="C739" s="5">
        <v>66.7</v>
      </c>
      <c r="D739" s="6">
        <v>58.5</v>
      </c>
      <c r="E739" s="7">
        <f t="shared" si="11"/>
        <v>125.2</v>
      </c>
      <c r="F739" s="8"/>
    </row>
    <row r="740" spans="1:6" ht="18" customHeight="1">
      <c r="A740" s="4" t="s">
        <v>19</v>
      </c>
      <c r="B740" s="4" t="str">
        <f>"2020023524"</f>
        <v>2020023524</v>
      </c>
      <c r="C740" s="5">
        <v>59.6</v>
      </c>
      <c r="D740" s="6">
        <v>64.5</v>
      </c>
      <c r="E740" s="7">
        <f t="shared" si="11"/>
        <v>124.1</v>
      </c>
      <c r="F740" s="8"/>
    </row>
    <row r="741" spans="1:6" ht="18" customHeight="1">
      <c r="A741" s="4" t="s">
        <v>19</v>
      </c>
      <c r="B741" s="4" t="str">
        <f>"2020011807"</f>
        <v>2020011807</v>
      </c>
      <c r="C741" s="5">
        <v>63.6</v>
      </c>
      <c r="D741" s="6">
        <v>59.5</v>
      </c>
      <c r="E741" s="7">
        <f t="shared" si="11"/>
        <v>123.1</v>
      </c>
      <c r="F741" s="8"/>
    </row>
    <row r="742" spans="1:6" ht="18" customHeight="1">
      <c r="A742" s="4" t="s">
        <v>19</v>
      </c>
      <c r="B742" s="4" t="str">
        <f>"2020011915"</f>
        <v>2020011915</v>
      </c>
      <c r="C742" s="5">
        <v>66.2</v>
      </c>
      <c r="D742" s="6">
        <v>56.5</v>
      </c>
      <c r="E742" s="7">
        <f t="shared" si="11"/>
        <v>122.7</v>
      </c>
      <c r="F742" s="8"/>
    </row>
    <row r="743" spans="1:6" ht="18" customHeight="1">
      <c r="A743" s="4" t="s">
        <v>19</v>
      </c>
      <c r="B743" s="4" t="str">
        <f>"2020031401"</f>
        <v>2020031401</v>
      </c>
      <c r="C743" s="5">
        <v>63.3</v>
      </c>
      <c r="D743" s="6">
        <v>58</v>
      </c>
      <c r="E743" s="7">
        <f t="shared" si="11"/>
        <v>121.3</v>
      </c>
      <c r="F743" s="8"/>
    </row>
    <row r="744" spans="1:6" ht="18" customHeight="1">
      <c r="A744" s="4" t="s">
        <v>19</v>
      </c>
      <c r="B744" s="4" t="str">
        <f>"2020011219"</f>
        <v>2020011219</v>
      </c>
      <c r="C744" s="5">
        <v>63.8</v>
      </c>
      <c r="D744" s="6">
        <v>57</v>
      </c>
      <c r="E744" s="7">
        <f t="shared" si="11"/>
        <v>120.8</v>
      </c>
      <c r="F744" s="8"/>
    </row>
    <row r="745" spans="1:6" ht="18" customHeight="1">
      <c r="A745" s="4" t="s">
        <v>19</v>
      </c>
      <c r="B745" s="4" t="str">
        <f>"2020013013"</f>
        <v>2020013013</v>
      </c>
      <c r="C745" s="5">
        <v>65.7</v>
      </c>
      <c r="D745" s="6">
        <v>55</v>
      </c>
      <c r="E745" s="7">
        <f t="shared" si="11"/>
        <v>120.7</v>
      </c>
      <c r="F745" s="8"/>
    </row>
    <row r="746" spans="1:6" ht="18" customHeight="1">
      <c r="A746" s="4" t="s">
        <v>19</v>
      </c>
      <c r="B746" s="4" t="str">
        <f>"2020045604"</f>
        <v>2020045604</v>
      </c>
      <c r="C746" s="5">
        <v>61.1</v>
      </c>
      <c r="D746" s="6">
        <v>58</v>
      </c>
      <c r="E746" s="7">
        <f t="shared" si="11"/>
        <v>119.1</v>
      </c>
      <c r="F746" s="8"/>
    </row>
    <row r="747" spans="1:6" ht="18" customHeight="1">
      <c r="A747" s="4" t="s">
        <v>19</v>
      </c>
      <c r="B747" s="4" t="str">
        <f>"2020032625"</f>
        <v>2020032625</v>
      </c>
      <c r="C747" s="5">
        <v>56.6</v>
      </c>
      <c r="D747" s="6">
        <v>62</v>
      </c>
      <c r="E747" s="7">
        <f t="shared" si="11"/>
        <v>118.6</v>
      </c>
      <c r="F747" s="8"/>
    </row>
    <row r="748" spans="1:6" ht="18" customHeight="1">
      <c r="A748" s="4" t="s">
        <v>19</v>
      </c>
      <c r="B748" s="4" t="str">
        <f>"2020012126"</f>
        <v>2020012126</v>
      </c>
      <c r="C748" s="5">
        <v>60.2</v>
      </c>
      <c r="D748" s="6">
        <v>56</v>
      </c>
      <c r="E748" s="7">
        <f t="shared" si="11"/>
        <v>116.2</v>
      </c>
      <c r="F748" s="8"/>
    </row>
    <row r="749" spans="1:6" ht="18" customHeight="1">
      <c r="A749" s="4" t="s">
        <v>19</v>
      </c>
      <c r="B749" s="4" t="str">
        <f>"2020032419"</f>
        <v>2020032419</v>
      </c>
      <c r="C749" s="5">
        <v>58.2</v>
      </c>
      <c r="D749" s="6">
        <v>57</v>
      </c>
      <c r="E749" s="7">
        <f t="shared" si="11"/>
        <v>115.2</v>
      </c>
      <c r="F749" s="8"/>
    </row>
    <row r="750" spans="1:6" ht="18" customHeight="1">
      <c r="A750" s="4" t="s">
        <v>19</v>
      </c>
      <c r="B750" s="4" t="str">
        <f>"2020020215"</f>
        <v>2020020215</v>
      </c>
      <c r="C750" s="5">
        <v>60.2</v>
      </c>
      <c r="D750" s="6">
        <v>54</v>
      </c>
      <c r="E750" s="7">
        <f t="shared" si="11"/>
        <v>114.2</v>
      </c>
      <c r="F750" s="8"/>
    </row>
    <row r="751" spans="1:6" ht="18" customHeight="1">
      <c r="A751" s="4" t="s">
        <v>19</v>
      </c>
      <c r="B751" s="4" t="str">
        <f>"2020046103"</f>
        <v>2020046103</v>
      </c>
      <c r="C751" s="5">
        <v>61.5</v>
      </c>
      <c r="D751" s="6">
        <v>51</v>
      </c>
      <c r="E751" s="7">
        <f t="shared" si="11"/>
        <v>112.5</v>
      </c>
      <c r="F751" s="8"/>
    </row>
    <row r="752" spans="1:6" ht="18" customHeight="1">
      <c r="A752" s="4" t="s">
        <v>19</v>
      </c>
      <c r="B752" s="4" t="str">
        <f>"2020032012"</f>
        <v>2020032012</v>
      </c>
      <c r="C752" s="5">
        <v>60.5</v>
      </c>
      <c r="D752" s="6">
        <v>51.5</v>
      </c>
      <c r="E752" s="7">
        <f t="shared" si="11"/>
        <v>112</v>
      </c>
      <c r="F752" s="8"/>
    </row>
    <row r="753" spans="1:6" ht="18" customHeight="1">
      <c r="A753" s="4" t="s">
        <v>19</v>
      </c>
      <c r="B753" s="4" t="str">
        <f>"2020033024"</f>
        <v>2020033024</v>
      </c>
      <c r="C753" s="5">
        <v>61.8</v>
      </c>
      <c r="D753" s="6">
        <v>49.5</v>
      </c>
      <c r="E753" s="7">
        <f t="shared" si="11"/>
        <v>111.3</v>
      </c>
      <c r="F753" s="8"/>
    </row>
    <row r="754" spans="1:6" ht="18" customHeight="1">
      <c r="A754" s="4" t="s">
        <v>19</v>
      </c>
      <c r="B754" s="4" t="str">
        <f>"2020011512"</f>
        <v>2020011512</v>
      </c>
      <c r="C754" s="5">
        <v>63.1</v>
      </c>
      <c r="D754" s="6">
        <v>47</v>
      </c>
      <c r="E754" s="7">
        <f t="shared" si="11"/>
        <v>110.1</v>
      </c>
      <c r="F754" s="8"/>
    </row>
    <row r="755" spans="1:6" ht="18" customHeight="1">
      <c r="A755" s="4" t="s">
        <v>19</v>
      </c>
      <c r="B755" s="4" t="str">
        <f>"2020042225"</f>
        <v>2020042225</v>
      </c>
      <c r="C755" s="5">
        <v>55.5</v>
      </c>
      <c r="D755" s="6">
        <v>51</v>
      </c>
      <c r="E755" s="7">
        <f t="shared" si="11"/>
        <v>106.5</v>
      </c>
      <c r="F755" s="8"/>
    </row>
    <row r="756" spans="1:6" ht="18" customHeight="1">
      <c r="A756" s="4" t="s">
        <v>19</v>
      </c>
      <c r="B756" s="4" t="str">
        <f>"2020043418"</f>
        <v>2020043418</v>
      </c>
      <c r="C756" s="5">
        <v>49.3</v>
      </c>
      <c r="D756" s="6">
        <v>47</v>
      </c>
      <c r="E756" s="7">
        <f t="shared" si="11"/>
        <v>96.3</v>
      </c>
      <c r="F756" s="8"/>
    </row>
    <row r="757" spans="1:6" ht="18" customHeight="1">
      <c r="A757" s="4" t="s">
        <v>19</v>
      </c>
      <c r="B757" s="4" t="str">
        <f>"2020023526"</f>
        <v>2020023526</v>
      </c>
      <c r="C757" s="5">
        <v>0</v>
      </c>
      <c r="D757" s="6">
        <v>0</v>
      </c>
      <c r="E757" s="7">
        <f t="shared" si="11"/>
        <v>0</v>
      </c>
      <c r="F757" s="8" t="s">
        <v>8</v>
      </c>
    </row>
    <row r="758" spans="1:6" ht="18" customHeight="1">
      <c r="A758" s="4" t="s">
        <v>19</v>
      </c>
      <c r="B758" s="4" t="str">
        <f>"2020046309"</f>
        <v>2020046309</v>
      </c>
      <c r="C758" s="5">
        <v>0</v>
      </c>
      <c r="D758" s="6">
        <v>0</v>
      </c>
      <c r="E758" s="7">
        <f t="shared" si="11"/>
        <v>0</v>
      </c>
      <c r="F758" s="8" t="s">
        <v>8</v>
      </c>
    </row>
    <row r="759" spans="1:6" ht="18" customHeight="1">
      <c r="A759" s="4" t="s">
        <v>20</v>
      </c>
      <c r="B759" s="4" t="str">
        <f>"2020047512"</f>
        <v>2020047512</v>
      </c>
      <c r="C759" s="5">
        <v>77.7</v>
      </c>
      <c r="D759" s="6">
        <v>68.5</v>
      </c>
      <c r="E759" s="7">
        <f t="shared" si="11"/>
        <v>146.19999999999999</v>
      </c>
      <c r="F759" s="8"/>
    </row>
    <row r="760" spans="1:6" ht="18" customHeight="1">
      <c r="A760" s="4" t="s">
        <v>20</v>
      </c>
      <c r="B760" s="4" t="str">
        <f>"2020043028"</f>
        <v>2020043028</v>
      </c>
      <c r="C760" s="5">
        <v>64.099999999999994</v>
      </c>
      <c r="D760" s="6">
        <v>67</v>
      </c>
      <c r="E760" s="7">
        <f t="shared" si="11"/>
        <v>131.1</v>
      </c>
      <c r="F760" s="8"/>
    </row>
    <row r="761" spans="1:6" ht="18" customHeight="1">
      <c r="A761" s="4" t="s">
        <v>20</v>
      </c>
      <c r="B761" s="4" t="str">
        <f>"2020047615"</f>
        <v>2020047615</v>
      </c>
      <c r="C761" s="5">
        <v>56.1</v>
      </c>
      <c r="D761" s="6">
        <v>55.5</v>
      </c>
      <c r="E761" s="7">
        <f t="shared" si="11"/>
        <v>111.6</v>
      </c>
      <c r="F761" s="8"/>
    </row>
    <row r="762" spans="1:6" ht="18" customHeight="1">
      <c r="A762" s="4" t="s">
        <v>20</v>
      </c>
      <c r="B762" s="4" t="str">
        <f>"2020010510"</f>
        <v>2020010510</v>
      </c>
      <c r="C762" s="5">
        <v>0</v>
      </c>
      <c r="D762" s="6">
        <v>0</v>
      </c>
      <c r="E762" s="7">
        <f t="shared" si="11"/>
        <v>0</v>
      </c>
      <c r="F762" s="9" t="s">
        <v>8</v>
      </c>
    </row>
    <row r="763" spans="1:6" ht="18" customHeight="1">
      <c r="A763" s="4" t="s">
        <v>21</v>
      </c>
      <c r="B763" s="4" t="str">
        <f>"2020047524"</f>
        <v>2020047524</v>
      </c>
      <c r="C763" s="5">
        <v>83.8</v>
      </c>
      <c r="D763" s="6">
        <v>83</v>
      </c>
      <c r="E763" s="7">
        <f t="shared" si="11"/>
        <v>166.8</v>
      </c>
      <c r="F763" s="8"/>
    </row>
    <row r="764" spans="1:6" ht="18" customHeight="1">
      <c r="A764" s="4" t="s">
        <v>21</v>
      </c>
      <c r="B764" s="4" t="str">
        <f>"2020044225"</f>
        <v>2020044225</v>
      </c>
      <c r="C764" s="5">
        <v>73.2</v>
      </c>
      <c r="D764" s="6">
        <v>75.5</v>
      </c>
      <c r="E764" s="7">
        <f t="shared" si="11"/>
        <v>148.69999999999999</v>
      </c>
      <c r="F764" s="8"/>
    </row>
    <row r="765" spans="1:6" ht="18" customHeight="1">
      <c r="A765" s="4" t="s">
        <v>21</v>
      </c>
      <c r="B765" s="4" t="str">
        <f>"2020033710"</f>
        <v>2020033710</v>
      </c>
      <c r="C765" s="5">
        <v>67</v>
      </c>
      <c r="D765" s="6">
        <v>78.5</v>
      </c>
      <c r="E765" s="7">
        <f t="shared" si="11"/>
        <v>145.5</v>
      </c>
      <c r="F765" s="8"/>
    </row>
    <row r="766" spans="1:6" ht="18" customHeight="1">
      <c r="A766" s="4" t="s">
        <v>21</v>
      </c>
      <c r="B766" s="4" t="str">
        <f>"2020020902"</f>
        <v>2020020902</v>
      </c>
      <c r="C766" s="5">
        <v>66.5</v>
      </c>
      <c r="D766" s="6">
        <v>78</v>
      </c>
      <c r="E766" s="7">
        <f t="shared" si="11"/>
        <v>144.5</v>
      </c>
      <c r="F766" s="8"/>
    </row>
    <row r="767" spans="1:6" ht="18" customHeight="1">
      <c r="A767" s="4" t="s">
        <v>21</v>
      </c>
      <c r="B767" s="4" t="str">
        <f>"2020042218"</f>
        <v>2020042218</v>
      </c>
      <c r="C767" s="5">
        <v>69.2</v>
      </c>
      <c r="D767" s="6">
        <v>72</v>
      </c>
      <c r="E767" s="7">
        <f t="shared" si="11"/>
        <v>141.19999999999999</v>
      </c>
      <c r="F767" s="8"/>
    </row>
    <row r="768" spans="1:6" ht="18" customHeight="1">
      <c r="A768" s="4" t="s">
        <v>21</v>
      </c>
      <c r="B768" s="4" t="str">
        <f>"2020033107"</f>
        <v>2020033107</v>
      </c>
      <c r="C768" s="5">
        <v>63.7</v>
      </c>
      <c r="D768" s="6">
        <v>77</v>
      </c>
      <c r="E768" s="7">
        <f t="shared" si="11"/>
        <v>140.69999999999999</v>
      </c>
      <c r="F768" s="8"/>
    </row>
    <row r="769" spans="1:6" ht="18" customHeight="1">
      <c r="A769" s="4" t="s">
        <v>21</v>
      </c>
      <c r="B769" s="4" t="str">
        <f>"2020031420"</f>
        <v>2020031420</v>
      </c>
      <c r="C769" s="5">
        <v>66</v>
      </c>
      <c r="D769" s="6">
        <v>73.5</v>
      </c>
      <c r="E769" s="7">
        <f t="shared" si="11"/>
        <v>139.5</v>
      </c>
      <c r="F769" s="8"/>
    </row>
    <row r="770" spans="1:6" ht="18" customHeight="1">
      <c r="A770" s="4" t="s">
        <v>21</v>
      </c>
      <c r="B770" s="4" t="str">
        <f>"2020030707"</f>
        <v>2020030707</v>
      </c>
      <c r="C770" s="5">
        <v>66.5</v>
      </c>
      <c r="D770" s="6">
        <v>72</v>
      </c>
      <c r="E770" s="7">
        <f t="shared" si="11"/>
        <v>138.5</v>
      </c>
      <c r="F770" s="8"/>
    </row>
    <row r="771" spans="1:6" ht="18" customHeight="1">
      <c r="A771" s="4" t="s">
        <v>21</v>
      </c>
      <c r="B771" s="4" t="str">
        <f>"2020033927"</f>
        <v>2020033927</v>
      </c>
      <c r="C771" s="5">
        <v>57.2</v>
      </c>
      <c r="D771" s="6">
        <v>81</v>
      </c>
      <c r="E771" s="7">
        <f t="shared" ref="E771:E834" si="12">SUM(C771:D771)</f>
        <v>138.19999999999999</v>
      </c>
      <c r="F771" s="8"/>
    </row>
    <row r="772" spans="1:6" ht="18" customHeight="1">
      <c r="A772" s="4" t="s">
        <v>21</v>
      </c>
      <c r="B772" s="4" t="str">
        <f>"2020010703"</f>
        <v>2020010703</v>
      </c>
      <c r="C772" s="5">
        <v>60.9</v>
      </c>
      <c r="D772" s="6">
        <v>73.5</v>
      </c>
      <c r="E772" s="7">
        <f t="shared" si="12"/>
        <v>134.4</v>
      </c>
      <c r="F772" s="8"/>
    </row>
    <row r="773" spans="1:6" ht="18" customHeight="1">
      <c r="A773" s="4" t="s">
        <v>21</v>
      </c>
      <c r="B773" s="4" t="str">
        <f>"2020012310"</f>
        <v>2020012310</v>
      </c>
      <c r="C773" s="5">
        <v>71.7</v>
      </c>
      <c r="D773" s="6">
        <v>62</v>
      </c>
      <c r="E773" s="7">
        <f t="shared" si="12"/>
        <v>133.69999999999999</v>
      </c>
      <c r="F773" s="8"/>
    </row>
    <row r="774" spans="1:6" ht="18" customHeight="1">
      <c r="A774" s="4" t="s">
        <v>21</v>
      </c>
      <c r="B774" s="4" t="str">
        <f>"2020013010"</f>
        <v>2020013010</v>
      </c>
      <c r="C774" s="5">
        <v>65.5</v>
      </c>
      <c r="D774" s="6">
        <v>66.5</v>
      </c>
      <c r="E774" s="7">
        <f t="shared" si="12"/>
        <v>132</v>
      </c>
      <c r="F774" s="8"/>
    </row>
    <row r="775" spans="1:6" ht="18" customHeight="1">
      <c r="A775" s="4" t="s">
        <v>21</v>
      </c>
      <c r="B775" s="4" t="str">
        <f>"2020044711"</f>
        <v>2020044711</v>
      </c>
      <c r="C775" s="5">
        <v>63.7</v>
      </c>
      <c r="D775" s="6">
        <v>66.5</v>
      </c>
      <c r="E775" s="7">
        <f t="shared" si="12"/>
        <v>130.19999999999999</v>
      </c>
      <c r="F775" s="8"/>
    </row>
    <row r="776" spans="1:6" ht="18" customHeight="1">
      <c r="A776" s="4" t="s">
        <v>21</v>
      </c>
      <c r="B776" s="4" t="str">
        <f>"2020012819"</f>
        <v>2020012819</v>
      </c>
      <c r="C776" s="5">
        <v>67.400000000000006</v>
      </c>
      <c r="D776" s="6">
        <v>61.5</v>
      </c>
      <c r="E776" s="7">
        <f t="shared" si="12"/>
        <v>128.9</v>
      </c>
      <c r="F776" s="8"/>
    </row>
    <row r="777" spans="1:6" ht="18" customHeight="1">
      <c r="A777" s="4" t="s">
        <v>21</v>
      </c>
      <c r="B777" s="4" t="str">
        <f>"2020045324"</f>
        <v>2020045324</v>
      </c>
      <c r="C777" s="5">
        <v>61</v>
      </c>
      <c r="D777" s="6">
        <v>66.5</v>
      </c>
      <c r="E777" s="7">
        <f t="shared" si="12"/>
        <v>127.5</v>
      </c>
      <c r="F777" s="8"/>
    </row>
    <row r="778" spans="1:6" ht="18" customHeight="1">
      <c r="A778" s="4" t="s">
        <v>21</v>
      </c>
      <c r="B778" s="4" t="str">
        <f>"2020011101"</f>
        <v>2020011101</v>
      </c>
      <c r="C778" s="5">
        <v>66.400000000000006</v>
      </c>
      <c r="D778" s="6">
        <v>60.5</v>
      </c>
      <c r="E778" s="7">
        <f t="shared" si="12"/>
        <v>126.9</v>
      </c>
      <c r="F778" s="8"/>
    </row>
    <row r="779" spans="1:6" ht="18" customHeight="1">
      <c r="A779" s="4" t="s">
        <v>21</v>
      </c>
      <c r="B779" s="4" t="str">
        <f>"2020045107"</f>
        <v>2020045107</v>
      </c>
      <c r="C779" s="5">
        <v>67.900000000000006</v>
      </c>
      <c r="D779" s="6">
        <v>57.5</v>
      </c>
      <c r="E779" s="7">
        <f t="shared" si="12"/>
        <v>125.4</v>
      </c>
      <c r="F779" s="8"/>
    </row>
    <row r="780" spans="1:6" ht="18" customHeight="1">
      <c r="A780" s="4" t="s">
        <v>21</v>
      </c>
      <c r="B780" s="4" t="str">
        <f>"2020022704"</f>
        <v>2020022704</v>
      </c>
      <c r="C780" s="5">
        <v>61.8</v>
      </c>
      <c r="D780" s="6">
        <v>62</v>
      </c>
      <c r="E780" s="7">
        <f t="shared" si="12"/>
        <v>123.8</v>
      </c>
      <c r="F780" s="8"/>
    </row>
    <row r="781" spans="1:6" ht="18" customHeight="1">
      <c r="A781" s="4" t="s">
        <v>21</v>
      </c>
      <c r="B781" s="4" t="str">
        <f>"2020044717"</f>
        <v>2020044717</v>
      </c>
      <c r="C781" s="5">
        <v>67.7</v>
      </c>
      <c r="D781" s="6">
        <v>54.5</v>
      </c>
      <c r="E781" s="7">
        <f t="shared" si="12"/>
        <v>122.2</v>
      </c>
      <c r="F781" s="8"/>
    </row>
    <row r="782" spans="1:6" ht="18" customHeight="1">
      <c r="A782" s="4" t="s">
        <v>21</v>
      </c>
      <c r="B782" s="4" t="str">
        <f>"2020022808"</f>
        <v>2020022808</v>
      </c>
      <c r="C782" s="5">
        <v>70.5</v>
      </c>
      <c r="D782" s="6">
        <v>48</v>
      </c>
      <c r="E782" s="7">
        <f t="shared" si="12"/>
        <v>118.5</v>
      </c>
      <c r="F782" s="8"/>
    </row>
    <row r="783" spans="1:6" ht="18" customHeight="1">
      <c r="A783" s="4" t="s">
        <v>21</v>
      </c>
      <c r="B783" s="4" t="str">
        <f>"2020031923"</f>
        <v>2020031923</v>
      </c>
      <c r="C783" s="5">
        <v>0</v>
      </c>
      <c r="D783" s="6">
        <v>0</v>
      </c>
      <c r="E783" s="7">
        <f t="shared" si="12"/>
        <v>0</v>
      </c>
      <c r="F783" s="8" t="s">
        <v>8</v>
      </c>
    </row>
    <row r="784" spans="1:6" ht="18" customHeight="1">
      <c r="A784" s="4" t="s">
        <v>21</v>
      </c>
      <c r="B784" s="4" t="str">
        <f>"2020040927"</f>
        <v>2020040927</v>
      </c>
      <c r="C784" s="5">
        <v>0</v>
      </c>
      <c r="D784" s="6">
        <v>0</v>
      </c>
      <c r="E784" s="7">
        <f t="shared" si="12"/>
        <v>0</v>
      </c>
      <c r="F784" s="8" t="s">
        <v>8</v>
      </c>
    </row>
    <row r="785" spans="1:6" ht="18" customHeight="1">
      <c r="A785" s="4" t="s">
        <v>21</v>
      </c>
      <c r="B785" s="4" t="str">
        <f>"2020042630"</f>
        <v>2020042630</v>
      </c>
      <c r="C785" s="5">
        <v>0</v>
      </c>
      <c r="D785" s="6">
        <v>0</v>
      </c>
      <c r="E785" s="7">
        <f t="shared" si="12"/>
        <v>0</v>
      </c>
      <c r="F785" s="8" t="s">
        <v>8</v>
      </c>
    </row>
    <row r="786" spans="1:6" ht="18" customHeight="1">
      <c r="A786" s="4" t="s">
        <v>22</v>
      </c>
      <c r="B786" s="4" t="str">
        <f>"2020032509"</f>
        <v>2020032509</v>
      </c>
      <c r="C786" s="5">
        <v>62.7</v>
      </c>
      <c r="D786" s="6">
        <v>66</v>
      </c>
      <c r="E786" s="7">
        <f t="shared" si="12"/>
        <v>128.69999999999999</v>
      </c>
      <c r="F786" s="8"/>
    </row>
    <row r="787" spans="1:6" ht="18" customHeight="1">
      <c r="A787" s="4" t="s">
        <v>22</v>
      </c>
      <c r="B787" s="4" t="str">
        <f>"2020030112"</f>
        <v>2020030112</v>
      </c>
      <c r="C787" s="5">
        <v>63.8</v>
      </c>
      <c r="D787" s="6">
        <v>64</v>
      </c>
      <c r="E787" s="7">
        <f t="shared" si="12"/>
        <v>127.8</v>
      </c>
      <c r="F787" s="8"/>
    </row>
    <row r="788" spans="1:6" ht="18" customHeight="1">
      <c r="A788" s="4" t="s">
        <v>22</v>
      </c>
      <c r="B788" s="4" t="str">
        <f>"2020012719"</f>
        <v>2020012719</v>
      </c>
      <c r="C788" s="5">
        <v>69.099999999999994</v>
      </c>
      <c r="D788" s="6">
        <v>54</v>
      </c>
      <c r="E788" s="7">
        <f t="shared" si="12"/>
        <v>123.1</v>
      </c>
      <c r="F788" s="8"/>
    </row>
    <row r="789" spans="1:6" ht="18" customHeight="1">
      <c r="A789" s="4" t="s">
        <v>22</v>
      </c>
      <c r="B789" s="4" t="str">
        <f>"2020010105"</f>
        <v>2020010105</v>
      </c>
      <c r="C789" s="5">
        <v>63.9</v>
      </c>
      <c r="D789" s="6">
        <v>58.5</v>
      </c>
      <c r="E789" s="7">
        <f t="shared" si="12"/>
        <v>122.4</v>
      </c>
      <c r="F789" s="8"/>
    </row>
    <row r="790" spans="1:6" ht="18" customHeight="1">
      <c r="A790" s="4" t="s">
        <v>22</v>
      </c>
      <c r="B790" s="4" t="str">
        <f>"2020020405"</f>
        <v>2020020405</v>
      </c>
      <c r="C790" s="5">
        <v>61.1</v>
      </c>
      <c r="D790" s="6">
        <v>59</v>
      </c>
      <c r="E790" s="7">
        <f t="shared" si="12"/>
        <v>120.1</v>
      </c>
      <c r="F790" s="8"/>
    </row>
    <row r="791" spans="1:6" ht="18" customHeight="1">
      <c r="A791" s="4" t="s">
        <v>22</v>
      </c>
      <c r="B791" s="4" t="str">
        <f>"2020024624"</f>
        <v>2020024624</v>
      </c>
      <c r="C791" s="5">
        <v>59.6</v>
      </c>
      <c r="D791" s="6">
        <v>60.5</v>
      </c>
      <c r="E791" s="7">
        <f t="shared" si="12"/>
        <v>120.1</v>
      </c>
      <c r="F791" s="8"/>
    </row>
    <row r="792" spans="1:6" ht="18" customHeight="1">
      <c r="A792" s="4" t="s">
        <v>22</v>
      </c>
      <c r="B792" s="4" t="str">
        <f>"2020013428"</f>
        <v>2020013428</v>
      </c>
      <c r="C792" s="5">
        <v>63.5</v>
      </c>
      <c r="D792" s="6">
        <v>56.5</v>
      </c>
      <c r="E792" s="7">
        <f t="shared" si="12"/>
        <v>120</v>
      </c>
      <c r="F792" s="8"/>
    </row>
    <row r="793" spans="1:6" ht="18" customHeight="1">
      <c r="A793" s="4" t="s">
        <v>22</v>
      </c>
      <c r="B793" s="4" t="str">
        <f>"2020043913"</f>
        <v>2020043913</v>
      </c>
      <c r="C793" s="5">
        <v>59.5</v>
      </c>
      <c r="D793" s="6">
        <v>60.5</v>
      </c>
      <c r="E793" s="7">
        <f t="shared" si="12"/>
        <v>120</v>
      </c>
      <c r="F793" s="8"/>
    </row>
    <row r="794" spans="1:6" ht="18" customHeight="1">
      <c r="A794" s="4" t="s">
        <v>22</v>
      </c>
      <c r="B794" s="4" t="str">
        <f>"2020032014"</f>
        <v>2020032014</v>
      </c>
      <c r="C794" s="5">
        <v>59.5</v>
      </c>
      <c r="D794" s="6">
        <v>59</v>
      </c>
      <c r="E794" s="7">
        <f t="shared" si="12"/>
        <v>118.5</v>
      </c>
      <c r="F794" s="8"/>
    </row>
    <row r="795" spans="1:6" ht="18" customHeight="1">
      <c r="A795" s="4" t="s">
        <v>22</v>
      </c>
      <c r="B795" s="4" t="str">
        <f>"2020010127"</f>
        <v>2020010127</v>
      </c>
      <c r="C795" s="5">
        <v>60.2</v>
      </c>
      <c r="D795" s="6">
        <v>57.5</v>
      </c>
      <c r="E795" s="7">
        <f t="shared" si="12"/>
        <v>117.7</v>
      </c>
      <c r="F795" s="8"/>
    </row>
    <row r="796" spans="1:6" ht="18" customHeight="1">
      <c r="A796" s="4" t="s">
        <v>22</v>
      </c>
      <c r="B796" s="4" t="str">
        <f>"2020011311"</f>
        <v>2020011311</v>
      </c>
      <c r="C796" s="5">
        <v>63.6</v>
      </c>
      <c r="D796" s="6">
        <v>47.5</v>
      </c>
      <c r="E796" s="7">
        <f t="shared" si="12"/>
        <v>111.1</v>
      </c>
      <c r="F796" s="8"/>
    </row>
    <row r="797" spans="1:6" ht="18" customHeight="1">
      <c r="A797" s="4" t="s">
        <v>22</v>
      </c>
      <c r="B797" s="4" t="str">
        <f>"2020040305"</f>
        <v>2020040305</v>
      </c>
      <c r="C797" s="5">
        <v>55.9</v>
      </c>
      <c r="D797" s="6">
        <v>53.5</v>
      </c>
      <c r="E797" s="7">
        <f t="shared" si="12"/>
        <v>109.4</v>
      </c>
      <c r="F797" s="8"/>
    </row>
    <row r="798" spans="1:6" ht="18" customHeight="1">
      <c r="A798" s="4" t="s">
        <v>22</v>
      </c>
      <c r="B798" s="4" t="str">
        <f>"2020030821"</f>
        <v>2020030821</v>
      </c>
      <c r="C798" s="5">
        <v>57.3</v>
      </c>
      <c r="D798" s="6">
        <v>42</v>
      </c>
      <c r="E798" s="7">
        <f t="shared" si="12"/>
        <v>99.3</v>
      </c>
      <c r="F798" s="8"/>
    </row>
    <row r="799" spans="1:6" ht="18" customHeight="1">
      <c r="A799" s="4" t="s">
        <v>22</v>
      </c>
      <c r="B799" s="4" t="str">
        <f>"2020044516"</f>
        <v>2020044516</v>
      </c>
      <c r="C799" s="5">
        <v>54.3</v>
      </c>
      <c r="D799" s="6">
        <v>41.5</v>
      </c>
      <c r="E799" s="7">
        <f t="shared" si="12"/>
        <v>95.8</v>
      </c>
      <c r="F799" s="8"/>
    </row>
    <row r="800" spans="1:6" ht="18" customHeight="1">
      <c r="A800" s="4" t="s">
        <v>22</v>
      </c>
      <c r="B800" s="4" t="str">
        <f>"2020047404"</f>
        <v>2020047404</v>
      </c>
      <c r="C800" s="5">
        <v>0</v>
      </c>
      <c r="D800" s="6">
        <v>43</v>
      </c>
      <c r="E800" s="7">
        <f t="shared" si="12"/>
        <v>43</v>
      </c>
      <c r="F800" s="8" t="s">
        <v>10</v>
      </c>
    </row>
    <row r="801" spans="1:6" ht="18" customHeight="1">
      <c r="A801" s="4" t="s">
        <v>22</v>
      </c>
      <c r="B801" s="4" t="str">
        <f>"2020013215"</f>
        <v>2020013215</v>
      </c>
      <c r="C801" s="5">
        <v>0</v>
      </c>
      <c r="D801" s="6">
        <v>0</v>
      </c>
      <c r="E801" s="7">
        <f t="shared" si="12"/>
        <v>0</v>
      </c>
      <c r="F801" s="9" t="s">
        <v>8</v>
      </c>
    </row>
    <row r="802" spans="1:6" ht="18" customHeight="1">
      <c r="A802" s="4" t="s">
        <v>22</v>
      </c>
      <c r="B802" s="4" t="str">
        <f>"2020020301"</f>
        <v>2020020301</v>
      </c>
      <c r="C802" s="5">
        <v>0</v>
      </c>
      <c r="D802" s="6">
        <v>0</v>
      </c>
      <c r="E802" s="7">
        <f t="shared" si="12"/>
        <v>0</v>
      </c>
      <c r="F802" s="8" t="s">
        <v>8</v>
      </c>
    </row>
    <row r="803" spans="1:6" ht="18" customHeight="1">
      <c r="A803" s="4" t="s">
        <v>22</v>
      </c>
      <c r="B803" s="4" t="str">
        <f>"2020023804"</f>
        <v>2020023804</v>
      </c>
      <c r="C803" s="5">
        <v>0</v>
      </c>
      <c r="D803" s="6">
        <v>0</v>
      </c>
      <c r="E803" s="7">
        <f t="shared" si="12"/>
        <v>0</v>
      </c>
      <c r="F803" s="8" t="s">
        <v>8</v>
      </c>
    </row>
    <row r="804" spans="1:6" ht="18" customHeight="1">
      <c r="A804" s="4" t="s">
        <v>22</v>
      </c>
      <c r="B804" s="4" t="str">
        <f>"2020024311"</f>
        <v>2020024311</v>
      </c>
      <c r="C804" s="5">
        <v>0</v>
      </c>
      <c r="D804" s="6">
        <v>0</v>
      </c>
      <c r="E804" s="7">
        <f t="shared" si="12"/>
        <v>0</v>
      </c>
      <c r="F804" s="8" t="s">
        <v>8</v>
      </c>
    </row>
    <row r="805" spans="1:6" ht="18" customHeight="1">
      <c r="A805" s="4" t="s">
        <v>23</v>
      </c>
      <c r="B805" s="4" t="str">
        <f>"2020042015"</f>
        <v>2020042015</v>
      </c>
      <c r="C805" s="5">
        <v>63.5</v>
      </c>
      <c r="D805" s="6">
        <v>67.5</v>
      </c>
      <c r="E805" s="7">
        <f t="shared" si="12"/>
        <v>131</v>
      </c>
      <c r="F805" s="8"/>
    </row>
    <row r="806" spans="1:6" ht="18" customHeight="1">
      <c r="A806" s="4" t="s">
        <v>23</v>
      </c>
      <c r="B806" s="4" t="str">
        <f>"2020022125"</f>
        <v>2020022125</v>
      </c>
      <c r="C806" s="5">
        <v>70.8</v>
      </c>
      <c r="D806" s="6">
        <v>52.5</v>
      </c>
      <c r="E806" s="7">
        <f t="shared" si="12"/>
        <v>123.3</v>
      </c>
      <c r="F806" s="8"/>
    </row>
    <row r="807" spans="1:6" ht="18" customHeight="1">
      <c r="A807" s="4" t="s">
        <v>23</v>
      </c>
      <c r="B807" s="4" t="str">
        <f>"2020042010"</f>
        <v>2020042010</v>
      </c>
      <c r="C807" s="5">
        <v>59.5</v>
      </c>
      <c r="D807" s="6">
        <v>57.5</v>
      </c>
      <c r="E807" s="7">
        <f t="shared" si="12"/>
        <v>117</v>
      </c>
      <c r="F807" s="8"/>
    </row>
    <row r="808" spans="1:6" ht="18" customHeight="1">
      <c r="A808" s="4" t="s">
        <v>23</v>
      </c>
      <c r="B808" s="4" t="str">
        <f>"2020046908"</f>
        <v>2020046908</v>
      </c>
      <c r="C808" s="5">
        <v>58.1</v>
      </c>
      <c r="D808" s="6">
        <v>58</v>
      </c>
      <c r="E808" s="7">
        <f t="shared" si="12"/>
        <v>116.1</v>
      </c>
      <c r="F808" s="8"/>
    </row>
    <row r="809" spans="1:6" ht="18" customHeight="1">
      <c r="A809" s="4" t="s">
        <v>23</v>
      </c>
      <c r="B809" s="4" t="str">
        <f>"2020030321"</f>
        <v>2020030321</v>
      </c>
      <c r="C809" s="5">
        <v>65.2</v>
      </c>
      <c r="D809" s="6">
        <v>46</v>
      </c>
      <c r="E809" s="7">
        <f t="shared" si="12"/>
        <v>111.2</v>
      </c>
      <c r="F809" s="8"/>
    </row>
    <row r="810" spans="1:6" ht="18" customHeight="1">
      <c r="A810" s="4" t="s">
        <v>23</v>
      </c>
      <c r="B810" s="4" t="str">
        <f>"2020023409"</f>
        <v>2020023409</v>
      </c>
      <c r="C810" s="5">
        <v>49.3</v>
      </c>
      <c r="D810" s="6">
        <v>55</v>
      </c>
      <c r="E810" s="7">
        <f t="shared" si="12"/>
        <v>104.3</v>
      </c>
      <c r="F810" s="8"/>
    </row>
    <row r="811" spans="1:6" ht="18" customHeight="1">
      <c r="A811" s="4" t="s">
        <v>23</v>
      </c>
      <c r="B811" s="4" t="str">
        <f>"2020010124"</f>
        <v>2020010124</v>
      </c>
      <c r="C811" s="5">
        <v>57</v>
      </c>
      <c r="D811" s="6">
        <v>45</v>
      </c>
      <c r="E811" s="7">
        <f t="shared" si="12"/>
        <v>102</v>
      </c>
      <c r="F811" s="8"/>
    </row>
    <row r="812" spans="1:6" ht="18" customHeight="1">
      <c r="A812" s="4" t="s">
        <v>23</v>
      </c>
      <c r="B812" s="4" t="str">
        <f>"2020013114"</f>
        <v>2020013114</v>
      </c>
      <c r="C812" s="5">
        <v>0</v>
      </c>
      <c r="D812" s="6">
        <v>0</v>
      </c>
      <c r="E812" s="7">
        <f t="shared" si="12"/>
        <v>0</v>
      </c>
      <c r="F812" s="9" t="s">
        <v>8</v>
      </c>
    </row>
    <row r="813" spans="1:6" ht="18" customHeight="1">
      <c r="A813" s="4" t="s">
        <v>23</v>
      </c>
      <c r="B813" s="4" t="str">
        <f>"2020032102"</f>
        <v>2020032102</v>
      </c>
      <c r="C813" s="5">
        <v>0</v>
      </c>
      <c r="D813" s="6">
        <v>0</v>
      </c>
      <c r="E813" s="7">
        <f t="shared" si="12"/>
        <v>0</v>
      </c>
      <c r="F813" s="8" t="s">
        <v>8</v>
      </c>
    </row>
    <row r="814" spans="1:6" ht="18" customHeight="1">
      <c r="A814" s="4" t="s">
        <v>23</v>
      </c>
      <c r="B814" s="4" t="str">
        <f>"2020032325"</f>
        <v>2020032325</v>
      </c>
      <c r="C814" s="5">
        <v>0</v>
      </c>
      <c r="D814" s="6">
        <v>0</v>
      </c>
      <c r="E814" s="7">
        <f t="shared" si="12"/>
        <v>0</v>
      </c>
      <c r="F814" s="8" t="s">
        <v>8</v>
      </c>
    </row>
    <row r="815" spans="1:6" ht="18" customHeight="1">
      <c r="A815" s="4" t="s">
        <v>23</v>
      </c>
      <c r="B815" s="4" t="str">
        <f>"2020032425"</f>
        <v>2020032425</v>
      </c>
      <c r="C815" s="5">
        <v>0</v>
      </c>
      <c r="D815" s="6">
        <v>0</v>
      </c>
      <c r="E815" s="7">
        <f t="shared" si="12"/>
        <v>0</v>
      </c>
      <c r="F815" s="8" t="s">
        <v>8</v>
      </c>
    </row>
    <row r="816" spans="1:6" ht="18" customHeight="1">
      <c r="A816" s="4" t="s">
        <v>23</v>
      </c>
      <c r="B816" s="4" t="str">
        <f>"2020041902"</f>
        <v>2020041902</v>
      </c>
      <c r="C816" s="5">
        <v>0</v>
      </c>
      <c r="D816" s="6">
        <v>0</v>
      </c>
      <c r="E816" s="7">
        <f t="shared" si="12"/>
        <v>0</v>
      </c>
      <c r="F816" s="8" t="s">
        <v>8</v>
      </c>
    </row>
    <row r="817" spans="1:6" ht="18" customHeight="1">
      <c r="A817" s="4" t="s">
        <v>24</v>
      </c>
      <c r="B817" s="4" t="str">
        <f>"2020013306"</f>
        <v>2020013306</v>
      </c>
      <c r="C817" s="5">
        <v>73.3</v>
      </c>
      <c r="D817" s="6">
        <v>68</v>
      </c>
      <c r="E817" s="7">
        <f t="shared" si="12"/>
        <v>141.30000000000001</v>
      </c>
      <c r="F817" s="8"/>
    </row>
    <row r="818" spans="1:6" ht="18" customHeight="1">
      <c r="A818" s="4" t="s">
        <v>24</v>
      </c>
      <c r="B818" s="4" t="str">
        <f>"2020045624"</f>
        <v>2020045624</v>
      </c>
      <c r="C818" s="5">
        <v>71.900000000000006</v>
      </c>
      <c r="D818" s="6">
        <v>68.5</v>
      </c>
      <c r="E818" s="7">
        <f t="shared" si="12"/>
        <v>140.4</v>
      </c>
      <c r="F818" s="8"/>
    </row>
    <row r="819" spans="1:6" ht="18" customHeight="1">
      <c r="A819" s="4" t="s">
        <v>24</v>
      </c>
      <c r="B819" s="4" t="str">
        <f>"2020010817"</f>
        <v>2020010817</v>
      </c>
      <c r="C819" s="5">
        <v>70.7</v>
      </c>
      <c r="D819" s="6">
        <v>68.5</v>
      </c>
      <c r="E819" s="7">
        <f t="shared" si="12"/>
        <v>139.19999999999999</v>
      </c>
      <c r="F819" s="8"/>
    </row>
    <row r="820" spans="1:6" ht="18" customHeight="1">
      <c r="A820" s="4" t="s">
        <v>24</v>
      </c>
      <c r="B820" s="4" t="str">
        <f>"2020045529"</f>
        <v>2020045529</v>
      </c>
      <c r="C820" s="5">
        <v>70.5</v>
      </c>
      <c r="D820" s="6">
        <v>65</v>
      </c>
      <c r="E820" s="7">
        <f t="shared" si="12"/>
        <v>135.5</v>
      </c>
      <c r="F820" s="8"/>
    </row>
    <row r="821" spans="1:6" ht="18" customHeight="1">
      <c r="A821" s="4" t="s">
        <v>24</v>
      </c>
      <c r="B821" s="4" t="str">
        <f>"2020030610"</f>
        <v>2020030610</v>
      </c>
      <c r="C821" s="5">
        <v>65.8</v>
      </c>
      <c r="D821" s="6">
        <v>69</v>
      </c>
      <c r="E821" s="7">
        <f t="shared" si="12"/>
        <v>134.80000000000001</v>
      </c>
      <c r="F821" s="8"/>
    </row>
    <row r="822" spans="1:6" ht="18" customHeight="1">
      <c r="A822" s="4" t="s">
        <v>24</v>
      </c>
      <c r="B822" s="4" t="str">
        <f>"2020022530"</f>
        <v>2020022530</v>
      </c>
      <c r="C822" s="5">
        <v>66.599999999999994</v>
      </c>
      <c r="D822" s="6">
        <v>66</v>
      </c>
      <c r="E822" s="7">
        <f t="shared" si="12"/>
        <v>132.6</v>
      </c>
      <c r="F822" s="8"/>
    </row>
    <row r="823" spans="1:6" ht="18" customHeight="1">
      <c r="A823" s="4" t="s">
        <v>24</v>
      </c>
      <c r="B823" s="4" t="str">
        <f>"2020011725"</f>
        <v>2020011725</v>
      </c>
      <c r="C823" s="5">
        <v>70.900000000000006</v>
      </c>
      <c r="D823" s="6">
        <v>61.5</v>
      </c>
      <c r="E823" s="7">
        <f t="shared" si="12"/>
        <v>132.4</v>
      </c>
      <c r="F823" s="8"/>
    </row>
    <row r="824" spans="1:6" ht="18" customHeight="1">
      <c r="A824" s="4" t="s">
        <v>24</v>
      </c>
      <c r="B824" s="4" t="str">
        <f>"2020033114"</f>
        <v>2020033114</v>
      </c>
      <c r="C824" s="5">
        <v>67.5</v>
      </c>
      <c r="D824" s="6">
        <v>63.5</v>
      </c>
      <c r="E824" s="7">
        <f t="shared" si="12"/>
        <v>131</v>
      </c>
      <c r="F824" s="8"/>
    </row>
    <row r="825" spans="1:6" ht="18" customHeight="1">
      <c r="A825" s="4" t="s">
        <v>24</v>
      </c>
      <c r="B825" s="4" t="str">
        <f>"2020046118"</f>
        <v>2020046118</v>
      </c>
      <c r="C825" s="5">
        <v>63.4</v>
      </c>
      <c r="D825" s="6">
        <v>65.5</v>
      </c>
      <c r="E825" s="7">
        <f t="shared" si="12"/>
        <v>128.9</v>
      </c>
      <c r="F825" s="8"/>
    </row>
    <row r="826" spans="1:6" ht="18" customHeight="1">
      <c r="A826" s="4" t="s">
        <v>24</v>
      </c>
      <c r="B826" s="4" t="str">
        <f>"2020046825"</f>
        <v>2020046825</v>
      </c>
      <c r="C826" s="5">
        <v>68.5</v>
      </c>
      <c r="D826" s="6">
        <v>60</v>
      </c>
      <c r="E826" s="7">
        <f t="shared" si="12"/>
        <v>128.5</v>
      </c>
      <c r="F826" s="8"/>
    </row>
    <row r="827" spans="1:6" ht="18" customHeight="1">
      <c r="A827" s="4" t="s">
        <v>24</v>
      </c>
      <c r="B827" s="4" t="str">
        <f>"2020021811"</f>
        <v>2020021811</v>
      </c>
      <c r="C827" s="5">
        <v>67.5</v>
      </c>
      <c r="D827" s="6">
        <v>61</v>
      </c>
      <c r="E827" s="7">
        <f t="shared" si="12"/>
        <v>128.5</v>
      </c>
      <c r="F827" s="8"/>
    </row>
    <row r="828" spans="1:6" ht="18" customHeight="1">
      <c r="A828" s="4" t="s">
        <v>24</v>
      </c>
      <c r="B828" s="4" t="str">
        <f>"2020031928"</f>
        <v>2020031928</v>
      </c>
      <c r="C828" s="5">
        <v>65.900000000000006</v>
      </c>
      <c r="D828" s="6">
        <v>61.5</v>
      </c>
      <c r="E828" s="7">
        <f t="shared" si="12"/>
        <v>127.4</v>
      </c>
      <c r="F828" s="8"/>
    </row>
    <row r="829" spans="1:6" ht="18" customHeight="1">
      <c r="A829" s="4" t="s">
        <v>24</v>
      </c>
      <c r="B829" s="4" t="str">
        <f>"2020045914"</f>
        <v>2020045914</v>
      </c>
      <c r="C829" s="5">
        <v>61.7</v>
      </c>
      <c r="D829" s="6">
        <v>65.5</v>
      </c>
      <c r="E829" s="7">
        <f t="shared" si="12"/>
        <v>127.2</v>
      </c>
      <c r="F829" s="8"/>
    </row>
    <row r="830" spans="1:6" ht="18" customHeight="1">
      <c r="A830" s="4" t="s">
        <v>24</v>
      </c>
      <c r="B830" s="4" t="str">
        <f>"2020045830"</f>
        <v>2020045830</v>
      </c>
      <c r="C830" s="5">
        <v>62</v>
      </c>
      <c r="D830" s="6">
        <v>64</v>
      </c>
      <c r="E830" s="7">
        <f t="shared" si="12"/>
        <v>126</v>
      </c>
      <c r="F830" s="8"/>
    </row>
    <row r="831" spans="1:6" ht="18" customHeight="1">
      <c r="A831" s="4" t="s">
        <v>24</v>
      </c>
      <c r="B831" s="4" t="str">
        <f>"2020046418"</f>
        <v>2020046418</v>
      </c>
      <c r="C831" s="5">
        <v>69</v>
      </c>
      <c r="D831" s="6">
        <v>54</v>
      </c>
      <c r="E831" s="7">
        <f t="shared" si="12"/>
        <v>123</v>
      </c>
      <c r="F831" s="8"/>
    </row>
    <row r="832" spans="1:6" ht="18" customHeight="1">
      <c r="A832" s="4" t="s">
        <v>24</v>
      </c>
      <c r="B832" s="4" t="str">
        <f>"2020012915"</f>
        <v>2020012915</v>
      </c>
      <c r="C832" s="5">
        <v>66</v>
      </c>
      <c r="D832" s="6">
        <v>55</v>
      </c>
      <c r="E832" s="7">
        <f t="shared" si="12"/>
        <v>121</v>
      </c>
      <c r="F832" s="8"/>
    </row>
    <row r="833" spans="1:6" ht="18" customHeight="1">
      <c r="A833" s="4" t="s">
        <v>24</v>
      </c>
      <c r="B833" s="4" t="str">
        <f>"2020044817"</f>
        <v>2020044817</v>
      </c>
      <c r="C833" s="5">
        <v>56.6</v>
      </c>
      <c r="D833" s="6">
        <v>63.5</v>
      </c>
      <c r="E833" s="7">
        <f t="shared" si="12"/>
        <v>120.1</v>
      </c>
      <c r="F833" s="8"/>
    </row>
    <row r="834" spans="1:6" ht="18" customHeight="1">
      <c r="A834" s="4" t="s">
        <v>24</v>
      </c>
      <c r="B834" s="4" t="str">
        <f>"2020044417"</f>
        <v>2020044417</v>
      </c>
      <c r="C834" s="5">
        <v>66.7</v>
      </c>
      <c r="D834" s="6">
        <v>51.5</v>
      </c>
      <c r="E834" s="7">
        <f t="shared" si="12"/>
        <v>118.2</v>
      </c>
      <c r="F834" s="8"/>
    </row>
    <row r="835" spans="1:6" ht="18" customHeight="1">
      <c r="A835" s="4" t="s">
        <v>24</v>
      </c>
      <c r="B835" s="4" t="str">
        <f>"2020012021"</f>
        <v>2020012021</v>
      </c>
      <c r="C835" s="5">
        <v>57.2</v>
      </c>
      <c r="D835" s="6">
        <v>61</v>
      </c>
      <c r="E835" s="7">
        <f t="shared" ref="E835:E898" si="13">SUM(C835:D835)</f>
        <v>118.2</v>
      </c>
      <c r="F835" s="8"/>
    </row>
    <row r="836" spans="1:6" ht="18" customHeight="1">
      <c r="A836" s="4" t="s">
        <v>24</v>
      </c>
      <c r="B836" s="4" t="str">
        <f>"2020020512"</f>
        <v>2020020512</v>
      </c>
      <c r="C836" s="5">
        <v>57.5</v>
      </c>
      <c r="D836" s="6">
        <v>60.5</v>
      </c>
      <c r="E836" s="7">
        <f t="shared" si="13"/>
        <v>118</v>
      </c>
      <c r="F836" s="8"/>
    </row>
    <row r="837" spans="1:6" ht="18" customHeight="1">
      <c r="A837" s="4" t="s">
        <v>24</v>
      </c>
      <c r="B837" s="4" t="str">
        <f>"2020033705"</f>
        <v>2020033705</v>
      </c>
      <c r="C837" s="5">
        <v>63.3</v>
      </c>
      <c r="D837" s="6">
        <v>53.5</v>
      </c>
      <c r="E837" s="7">
        <f t="shared" si="13"/>
        <v>116.8</v>
      </c>
      <c r="F837" s="8"/>
    </row>
    <row r="838" spans="1:6" ht="18" customHeight="1">
      <c r="A838" s="4" t="s">
        <v>24</v>
      </c>
      <c r="B838" s="4" t="str">
        <f>"2020031312"</f>
        <v>2020031312</v>
      </c>
      <c r="C838" s="5">
        <v>60.2</v>
      </c>
      <c r="D838" s="6">
        <v>52.5</v>
      </c>
      <c r="E838" s="7">
        <f t="shared" si="13"/>
        <v>112.7</v>
      </c>
      <c r="F838" s="8"/>
    </row>
    <row r="839" spans="1:6" ht="18" customHeight="1">
      <c r="A839" s="4" t="s">
        <v>24</v>
      </c>
      <c r="B839" s="4" t="str">
        <f>"2020024619"</f>
        <v>2020024619</v>
      </c>
      <c r="C839" s="5">
        <v>55.6</v>
      </c>
      <c r="D839" s="6">
        <v>56</v>
      </c>
      <c r="E839" s="7">
        <f t="shared" si="13"/>
        <v>111.6</v>
      </c>
      <c r="F839" s="8"/>
    </row>
    <row r="840" spans="1:6" ht="18" customHeight="1">
      <c r="A840" s="4" t="s">
        <v>24</v>
      </c>
      <c r="B840" s="4" t="str">
        <f>"2020021325"</f>
        <v>2020021325</v>
      </c>
      <c r="C840" s="5">
        <v>59.1</v>
      </c>
      <c r="D840" s="6">
        <v>52</v>
      </c>
      <c r="E840" s="7">
        <f t="shared" si="13"/>
        <v>111.1</v>
      </c>
      <c r="F840" s="8"/>
    </row>
    <row r="841" spans="1:6" ht="18" customHeight="1">
      <c r="A841" s="4" t="s">
        <v>24</v>
      </c>
      <c r="B841" s="4" t="str">
        <f>"2020024026"</f>
        <v>2020024026</v>
      </c>
      <c r="C841" s="5">
        <v>54</v>
      </c>
      <c r="D841" s="6">
        <v>52.5</v>
      </c>
      <c r="E841" s="7">
        <f t="shared" si="13"/>
        <v>106.5</v>
      </c>
      <c r="F841" s="8"/>
    </row>
    <row r="842" spans="1:6" ht="18" customHeight="1">
      <c r="A842" s="4" t="s">
        <v>24</v>
      </c>
      <c r="B842" s="4" t="str">
        <f>"2020012823"</f>
        <v>2020012823</v>
      </c>
      <c r="C842" s="5">
        <v>48.5</v>
      </c>
      <c r="D842" s="6">
        <v>50</v>
      </c>
      <c r="E842" s="7">
        <f t="shared" si="13"/>
        <v>98.5</v>
      </c>
      <c r="F842" s="8"/>
    </row>
    <row r="843" spans="1:6" ht="18" customHeight="1">
      <c r="A843" s="4" t="s">
        <v>24</v>
      </c>
      <c r="B843" s="4" t="str">
        <f>"2020010719"</f>
        <v>2020010719</v>
      </c>
      <c r="C843" s="5">
        <v>46.3</v>
      </c>
      <c r="D843" s="6">
        <v>41.5</v>
      </c>
      <c r="E843" s="7">
        <f t="shared" si="13"/>
        <v>87.8</v>
      </c>
      <c r="F843" s="8"/>
    </row>
    <row r="844" spans="1:6" ht="18" customHeight="1">
      <c r="A844" s="4" t="s">
        <v>24</v>
      </c>
      <c r="B844" s="4" t="str">
        <f>"2020030405"</f>
        <v>2020030405</v>
      </c>
      <c r="C844" s="5">
        <v>0</v>
      </c>
      <c r="D844" s="6">
        <v>0</v>
      </c>
      <c r="E844" s="7">
        <f t="shared" si="13"/>
        <v>0</v>
      </c>
      <c r="F844" s="8" t="s">
        <v>8</v>
      </c>
    </row>
    <row r="845" spans="1:6" ht="18" customHeight="1">
      <c r="A845" s="4" t="s">
        <v>24</v>
      </c>
      <c r="B845" s="4" t="str">
        <f>"2020042024"</f>
        <v>2020042024</v>
      </c>
      <c r="C845" s="5">
        <v>0</v>
      </c>
      <c r="D845" s="6">
        <v>0</v>
      </c>
      <c r="E845" s="7">
        <f t="shared" si="13"/>
        <v>0</v>
      </c>
      <c r="F845" s="8" t="s">
        <v>8</v>
      </c>
    </row>
    <row r="846" spans="1:6" ht="18" customHeight="1">
      <c r="A846" s="4" t="s">
        <v>24</v>
      </c>
      <c r="B846" s="4" t="str">
        <f>"2020045515"</f>
        <v>2020045515</v>
      </c>
      <c r="C846" s="5">
        <v>0</v>
      </c>
      <c r="D846" s="6">
        <v>0</v>
      </c>
      <c r="E846" s="7">
        <f t="shared" si="13"/>
        <v>0</v>
      </c>
      <c r="F846" s="8" t="s">
        <v>8</v>
      </c>
    </row>
    <row r="847" spans="1:6" ht="18" customHeight="1">
      <c r="A847" s="4" t="s">
        <v>25</v>
      </c>
      <c r="B847" s="4" t="str">
        <f>"2020042908"</f>
        <v>2020042908</v>
      </c>
      <c r="C847" s="5">
        <v>73.3</v>
      </c>
      <c r="D847" s="6">
        <v>75.5</v>
      </c>
      <c r="E847" s="7">
        <f t="shared" si="13"/>
        <v>148.80000000000001</v>
      </c>
      <c r="F847" s="8"/>
    </row>
    <row r="848" spans="1:6" ht="18" customHeight="1">
      <c r="A848" s="4" t="s">
        <v>25</v>
      </c>
      <c r="B848" s="4" t="str">
        <f>"2020022202"</f>
        <v>2020022202</v>
      </c>
      <c r="C848" s="5">
        <v>66.599999999999994</v>
      </c>
      <c r="D848" s="6">
        <v>77</v>
      </c>
      <c r="E848" s="7">
        <f t="shared" si="13"/>
        <v>143.6</v>
      </c>
      <c r="F848" s="8"/>
    </row>
    <row r="849" spans="1:6" ht="18" customHeight="1">
      <c r="A849" s="4" t="s">
        <v>25</v>
      </c>
      <c r="B849" s="4" t="str">
        <f>"2020040112"</f>
        <v>2020040112</v>
      </c>
      <c r="C849" s="5">
        <v>71.7</v>
      </c>
      <c r="D849" s="6">
        <v>69</v>
      </c>
      <c r="E849" s="7">
        <f t="shared" si="13"/>
        <v>140.69999999999999</v>
      </c>
      <c r="F849" s="8"/>
    </row>
    <row r="850" spans="1:6" ht="18" customHeight="1">
      <c r="A850" s="4" t="s">
        <v>25</v>
      </c>
      <c r="B850" s="4" t="str">
        <f>"2020046708"</f>
        <v>2020046708</v>
      </c>
      <c r="C850" s="5">
        <v>68.3</v>
      </c>
      <c r="D850" s="6">
        <v>68.5</v>
      </c>
      <c r="E850" s="7">
        <f t="shared" si="13"/>
        <v>136.80000000000001</v>
      </c>
      <c r="F850" s="8"/>
    </row>
    <row r="851" spans="1:6" ht="18" customHeight="1">
      <c r="A851" s="4" t="s">
        <v>25</v>
      </c>
      <c r="B851" s="4" t="str">
        <f>"2020041520"</f>
        <v>2020041520</v>
      </c>
      <c r="C851" s="5">
        <v>56.9</v>
      </c>
      <c r="D851" s="6">
        <v>78.5</v>
      </c>
      <c r="E851" s="7">
        <f t="shared" si="13"/>
        <v>135.4</v>
      </c>
      <c r="F851" s="8"/>
    </row>
    <row r="852" spans="1:6" ht="18" customHeight="1">
      <c r="A852" s="4" t="s">
        <v>25</v>
      </c>
      <c r="B852" s="4" t="str">
        <f>"2020011019"</f>
        <v>2020011019</v>
      </c>
      <c r="C852" s="5">
        <v>64.400000000000006</v>
      </c>
      <c r="D852" s="6">
        <v>69</v>
      </c>
      <c r="E852" s="7">
        <f t="shared" si="13"/>
        <v>133.4</v>
      </c>
      <c r="F852" s="8"/>
    </row>
    <row r="853" spans="1:6" ht="18" customHeight="1">
      <c r="A853" s="4" t="s">
        <v>25</v>
      </c>
      <c r="B853" s="4" t="str">
        <f>"2020046517"</f>
        <v>2020046517</v>
      </c>
      <c r="C853" s="5">
        <v>70.400000000000006</v>
      </c>
      <c r="D853" s="6">
        <v>62.5</v>
      </c>
      <c r="E853" s="7">
        <f t="shared" si="13"/>
        <v>132.9</v>
      </c>
      <c r="F853" s="8"/>
    </row>
    <row r="854" spans="1:6" ht="18" customHeight="1">
      <c r="A854" s="4" t="s">
        <v>25</v>
      </c>
      <c r="B854" s="4" t="str">
        <f>"2020041404"</f>
        <v>2020041404</v>
      </c>
      <c r="C854" s="5">
        <v>68.7</v>
      </c>
      <c r="D854" s="6">
        <v>63</v>
      </c>
      <c r="E854" s="7">
        <f t="shared" si="13"/>
        <v>131.69999999999999</v>
      </c>
      <c r="F854" s="8"/>
    </row>
    <row r="855" spans="1:6" ht="18" customHeight="1">
      <c r="A855" s="4" t="s">
        <v>25</v>
      </c>
      <c r="B855" s="4" t="str">
        <f>"2020043316"</f>
        <v>2020043316</v>
      </c>
      <c r="C855" s="5">
        <v>65.8</v>
      </c>
      <c r="D855" s="6">
        <v>62</v>
      </c>
      <c r="E855" s="7">
        <f t="shared" si="13"/>
        <v>127.8</v>
      </c>
      <c r="F855" s="8"/>
    </row>
    <row r="856" spans="1:6" ht="18" customHeight="1">
      <c r="A856" s="4" t="s">
        <v>25</v>
      </c>
      <c r="B856" s="4" t="str">
        <f>"2020013413"</f>
        <v>2020013413</v>
      </c>
      <c r="C856" s="5">
        <v>65.599999999999994</v>
      </c>
      <c r="D856" s="6">
        <v>61.5</v>
      </c>
      <c r="E856" s="7">
        <f t="shared" si="13"/>
        <v>127.1</v>
      </c>
      <c r="F856" s="8"/>
    </row>
    <row r="857" spans="1:6" ht="18" customHeight="1">
      <c r="A857" s="4" t="s">
        <v>25</v>
      </c>
      <c r="B857" s="4" t="str">
        <f>"2020033102"</f>
        <v>2020033102</v>
      </c>
      <c r="C857" s="5">
        <v>61.5</v>
      </c>
      <c r="D857" s="6">
        <v>64</v>
      </c>
      <c r="E857" s="7">
        <f t="shared" si="13"/>
        <v>125.5</v>
      </c>
      <c r="F857" s="8"/>
    </row>
    <row r="858" spans="1:6" ht="18" customHeight="1">
      <c r="A858" s="4" t="s">
        <v>25</v>
      </c>
      <c r="B858" s="4" t="str">
        <f>"2020010724"</f>
        <v>2020010724</v>
      </c>
      <c r="C858" s="5">
        <v>67</v>
      </c>
      <c r="D858" s="6">
        <v>57</v>
      </c>
      <c r="E858" s="7">
        <f t="shared" si="13"/>
        <v>124</v>
      </c>
      <c r="F858" s="8"/>
    </row>
    <row r="859" spans="1:6" ht="18" customHeight="1">
      <c r="A859" s="4" t="s">
        <v>25</v>
      </c>
      <c r="B859" s="4" t="str">
        <f>"2020024018"</f>
        <v>2020024018</v>
      </c>
      <c r="C859" s="5">
        <v>67.599999999999994</v>
      </c>
      <c r="D859" s="6">
        <v>55.5</v>
      </c>
      <c r="E859" s="7">
        <f t="shared" si="13"/>
        <v>123.1</v>
      </c>
      <c r="F859" s="8"/>
    </row>
    <row r="860" spans="1:6" ht="18" customHeight="1">
      <c r="A860" s="4" t="s">
        <v>25</v>
      </c>
      <c r="B860" s="4" t="str">
        <f>"2020022608"</f>
        <v>2020022608</v>
      </c>
      <c r="C860" s="5">
        <v>61.4</v>
      </c>
      <c r="D860" s="6">
        <v>61.5</v>
      </c>
      <c r="E860" s="7">
        <f t="shared" si="13"/>
        <v>122.9</v>
      </c>
      <c r="F860" s="8"/>
    </row>
    <row r="861" spans="1:6" ht="18" customHeight="1">
      <c r="A861" s="4" t="s">
        <v>25</v>
      </c>
      <c r="B861" s="4" t="str">
        <f>"2020024005"</f>
        <v>2020024005</v>
      </c>
      <c r="C861" s="5">
        <v>61.8</v>
      </c>
      <c r="D861" s="6">
        <v>61</v>
      </c>
      <c r="E861" s="7">
        <f t="shared" si="13"/>
        <v>122.8</v>
      </c>
      <c r="F861" s="8"/>
    </row>
    <row r="862" spans="1:6" ht="18" customHeight="1">
      <c r="A862" s="4" t="s">
        <v>25</v>
      </c>
      <c r="B862" s="4" t="str">
        <f>"2020033429"</f>
        <v>2020033429</v>
      </c>
      <c r="C862" s="5">
        <v>59.5</v>
      </c>
      <c r="D862" s="6">
        <v>62</v>
      </c>
      <c r="E862" s="7">
        <f t="shared" si="13"/>
        <v>121.5</v>
      </c>
      <c r="F862" s="8"/>
    </row>
    <row r="863" spans="1:6" ht="18" customHeight="1">
      <c r="A863" s="4" t="s">
        <v>25</v>
      </c>
      <c r="B863" s="4" t="str">
        <f>"2020020209"</f>
        <v>2020020209</v>
      </c>
      <c r="C863" s="5">
        <v>59.9</v>
      </c>
      <c r="D863" s="6">
        <v>61</v>
      </c>
      <c r="E863" s="7">
        <f t="shared" si="13"/>
        <v>120.9</v>
      </c>
      <c r="F863" s="8"/>
    </row>
    <row r="864" spans="1:6" ht="18" customHeight="1">
      <c r="A864" s="4" t="s">
        <v>25</v>
      </c>
      <c r="B864" s="4" t="str">
        <f>"2020010101"</f>
        <v>2020010101</v>
      </c>
      <c r="C864" s="5">
        <v>61.6</v>
      </c>
      <c r="D864" s="6">
        <v>59</v>
      </c>
      <c r="E864" s="7">
        <f t="shared" si="13"/>
        <v>120.6</v>
      </c>
      <c r="F864" s="8"/>
    </row>
    <row r="865" spans="1:6" ht="18" customHeight="1">
      <c r="A865" s="4" t="s">
        <v>25</v>
      </c>
      <c r="B865" s="4" t="str">
        <f>"2020022706"</f>
        <v>2020022706</v>
      </c>
      <c r="C865" s="5">
        <v>66.8</v>
      </c>
      <c r="D865" s="6">
        <v>51.5</v>
      </c>
      <c r="E865" s="7">
        <f t="shared" si="13"/>
        <v>118.3</v>
      </c>
      <c r="F865" s="8"/>
    </row>
    <row r="866" spans="1:6" ht="18" customHeight="1">
      <c r="A866" s="4" t="s">
        <v>25</v>
      </c>
      <c r="B866" s="4" t="str">
        <f>"2020032018"</f>
        <v>2020032018</v>
      </c>
      <c r="C866" s="5">
        <v>58.3</v>
      </c>
      <c r="D866" s="6">
        <v>59.5</v>
      </c>
      <c r="E866" s="7">
        <f t="shared" si="13"/>
        <v>117.8</v>
      </c>
      <c r="F866" s="8"/>
    </row>
    <row r="867" spans="1:6" ht="18" customHeight="1">
      <c r="A867" s="4" t="s">
        <v>25</v>
      </c>
      <c r="B867" s="4" t="str">
        <f>"2020023917"</f>
        <v>2020023917</v>
      </c>
      <c r="C867" s="5">
        <v>60.9</v>
      </c>
      <c r="D867" s="6">
        <v>55.5</v>
      </c>
      <c r="E867" s="7">
        <f t="shared" si="13"/>
        <v>116.4</v>
      </c>
      <c r="F867" s="8"/>
    </row>
    <row r="868" spans="1:6" ht="18" customHeight="1">
      <c r="A868" s="4" t="s">
        <v>25</v>
      </c>
      <c r="B868" s="4" t="str">
        <f>"2020046311"</f>
        <v>2020046311</v>
      </c>
      <c r="C868" s="5">
        <v>61.2</v>
      </c>
      <c r="D868" s="6">
        <v>54</v>
      </c>
      <c r="E868" s="7">
        <f t="shared" si="13"/>
        <v>115.2</v>
      </c>
      <c r="F868" s="8"/>
    </row>
    <row r="869" spans="1:6" ht="18" customHeight="1">
      <c r="A869" s="4" t="s">
        <v>25</v>
      </c>
      <c r="B869" s="4" t="str">
        <f>"2020047519"</f>
        <v>2020047519</v>
      </c>
      <c r="C869" s="5">
        <v>60</v>
      </c>
      <c r="D869" s="6">
        <v>55</v>
      </c>
      <c r="E869" s="7">
        <f t="shared" si="13"/>
        <v>115</v>
      </c>
      <c r="F869" s="8"/>
    </row>
    <row r="870" spans="1:6" ht="18" customHeight="1">
      <c r="A870" s="4" t="s">
        <v>25</v>
      </c>
      <c r="B870" s="4" t="str">
        <f>"2020042425"</f>
        <v>2020042425</v>
      </c>
      <c r="C870" s="5">
        <v>69.900000000000006</v>
      </c>
      <c r="D870" s="6">
        <v>43.5</v>
      </c>
      <c r="E870" s="7">
        <f t="shared" si="13"/>
        <v>113.4</v>
      </c>
      <c r="F870" s="8"/>
    </row>
    <row r="871" spans="1:6" ht="18" customHeight="1">
      <c r="A871" s="4" t="s">
        <v>25</v>
      </c>
      <c r="B871" s="4" t="str">
        <f>"2020046423"</f>
        <v>2020046423</v>
      </c>
      <c r="C871" s="5">
        <v>65.5</v>
      </c>
      <c r="D871" s="6">
        <v>47</v>
      </c>
      <c r="E871" s="7">
        <f t="shared" si="13"/>
        <v>112.5</v>
      </c>
      <c r="F871" s="8"/>
    </row>
    <row r="872" spans="1:6" ht="18" customHeight="1">
      <c r="A872" s="4" t="s">
        <v>25</v>
      </c>
      <c r="B872" s="4" t="str">
        <f>"2020020128"</f>
        <v>2020020128</v>
      </c>
      <c r="C872" s="5">
        <v>61.8</v>
      </c>
      <c r="D872" s="6">
        <v>50.5</v>
      </c>
      <c r="E872" s="7">
        <f t="shared" si="13"/>
        <v>112.3</v>
      </c>
      <c r="F872" s="8"/>
    </row>
    <row r="873" spans="1:6" ht="18" customHeight="1">
      <c r="A873" s="4" t="s">
        <v>25</v>
      </c>
      <c r="B873" s="4" t="str">
        <f>"2020045023"</f>
        <v>2020045023</v>
      </c>
      <c r="C873" s="5">
        <v>66.2</v>
      </c>
      <c r="D873" s="6">
        <v>44.5</v>
      </c>
      <c r="E873" s="7">
        <f t="shared" si="13"/>
        <v>110.7</v>
      </c>
      <c r="F873" s="8"/>
    </row>
    <row r="874" spans="1:6" ht="18" customHeight="1">
      <c r="A874" s="4" t="s">
        <v>25</v>
      </c>
      <c r="B874" s="4" t="str">
        <f>"2020043419"</f>
        <v>2020043419</v>
      </c>
      <c r="C874" s="5">
        <v>56.8</v>
      </c>
      <c r="D874" s="6">
        <v>53</v>
      </c>
      <c r="E874" s="7">
        <f t="shared" si="13"/>
        <v>109.8</v>
      </c>
      <c r="F874" s="8"/>
    </row>
    <row r="875" spans="1:6" ht="18" customHeight="1">
      <c r="A875" s="4" t="s">
        <v>25</v>
      </c>
      <c r="B875" s="4" t="str">
        <f>"2020040901"</f>
        <v>2020040901</v>
      </c>
      <c r="C875" s="5">
        <v>53.7</v>
      </c>
      <c r="D875" s="6">
        <v>54</v>
      </c>
      <c r="E875" s="7">
        <f t="shared" si="13"/>
        <v>107.7</v>
      </c>
      <c r="F875" s="8"/>
    </row>
    <row r="876" spans="1:6" ht="18" customHeight="1">
      <c r="A876" s="4" t="s">
        <v>25</v>
      </c>
      <c r="B876" s="4" t="str">
        <f>"2020042507"</f>
        <v>2020042507</v>
      </c>
      <c r="C876" s="5">
        <v>63.1</v>
      </c>
      <c r="D876" s="6">
        <v>43.5</v>
      </c>
      <c r="E876" s="7">
        <f t="shared" si="13"/>
        <v>106.6</v>
      </c>
      <c r="F876" s="8"/>
    </row>
    <row r="877" spans="1:6" ht="18" customHeight="1">
      <c r="A877" s="4" t="s">
        <v>25</v>
      </c>
      <c r="B877" s="4" t="str">
        <f>"2020046323"</f>
        <v>2020046323</v>
      </c>
      <c r="C877" s="5">
        <v>57</v>
      </c>
      <c r="D877" s="6">
        <v>49</v>
      </c>
      <c r="E877" s="7">
        <f t="shared" si="13"/>
        <v>106</v>
      </c>
      <c r="F877" s="8"/>
    </row>
    <row r="878" spans="1:6" ht="18" customHeight="1">
      <c r="A878" s="4" t="s">
        <v>25</v>
      </c>
      <c r="B878" s="4" t="str">
        <f>"2020046816"</f>
        <v>2020046816</v>
      </c>
      <c r="C878" s="5">
        <v>67.5</v>
      </c>
      <c r="D878" s="6">
        <v>36</v>
      </c>
      <c r="E878" s="7">
        <f t="shared" si="13"/>
        <v>103.5</v>
      </c>
      <c r="F878" s="8"/>
    </row>
    <row r="879" spans="1:6" ht="18" customHeight="1">
      <c r="A879" s="4" t="s">
        <v>25</v>
      </c>
      <c r="B879" s="4" t="str">
        <f>"2020023702"</f>
        <v>2020023702</v>
      </c>
      <c r="C879" s="5">
        <v>59.9</v>
      </c>
      <c r="D879" s="6">
        <v>43</v>
      </c>
      <c r="E879" s="7">
        <f t="shared" si="13"/>
        <v>102.9</v>
      </c>
      <c r="F879" s="8"/>
    </row>
    <row r="880" spans="1:6" ht="18" customHeight="1">
      <c r="A880" s="4" t="s">
        <v>25</v>
      </c>
      <c r="B880" s="4" t="str">
        <f>"2020044116"</f>
        <v>2020044116</v>
      </c>
      <c r="C880" s="5">
        <v>60.2</v>
      </c>
      <c r="D880" s="6">
        <v>42.5</v>
      </c>
      <c r="E880" s="7">
        <f t="shared" si="13"/>
        <v>102.7</v>
      </c>
      <c r="F880" s="8"/>
    </row>
    <row r="881" spans="1:6" ht="18" customHeight="1">
      <c r="A881" s="4" t="s">
        <v>25</v>
      </c>
      <c r="B881" s="4" t="str">
        <f>"2020010604"</f>
        <v>2020010604</v>
      </c>
      <c r="C881" s="5">
        <v>61.1</v>
      </c>
      <c r="D881" s="6">
        <v>41</v>
      </c>
      <c r="E881" s="7">
        <f t="shared" si="13"/>
        <v>102.1</v>
      </c>
      <c r="F881" s="8"/>
    </row>
    <row r="882" spans="1:6" ht="18" customHeight="1">
      <c r="A882" s="4" t="s">
        <v>25</v>
      </c>
      <c r="B882" s="4" t="str">
        <f>"2020011228"</f>
        <v>2020011228</v>
      </c>
      <c r="C882" s="5">
        <v>45.2</v>
      </c>
      <c r="D882" s="6">
        <v>54</v>
      </c>
      <c r="E882" s="7">
        <f t="shared" si="13"/>
        <v>99.2</v>
      </c>
      <c r="F882" s="8"/>
    </row>
    <row r="883" spans="1:6" ht="18" customHeight="1">
      <c r="A883" s="4" t="s">
        <v>25</v>
      </c>
      <c r="B883" s="4" t="str">
        <f>"2020022004"</f>
        <v>2020022004</v>
      </c>
      <c r="C883" s="5">
        <v>51.5</v>
      </c>
      <c r="D883" s="6">
        <v>47</v>
      </c>
      <c r="E883" s="7">
        <f t="shared" si="13"/>
        <v>98.5</v>
      </c>
      <c r="F883" s="8"/>
    </row>
    <row r="884" spans="1:6" ht="18" customHeight="1">
      <c r="A884" s="4" t="s">
        <v>25</v>
      </c>
      <c r="B884" s="4" t="str">
        <f>"2020046204"</f>
        <v>2020046204</v>
      </c>
      <c r="C884" s="5">
        <v>55.1</v>
      </c>
      <c r="D884" s="6">
        <v>42</v>
      </c>
      <c r="E884" s="7">
        <f t="shared" si="13"/>
        <v>97.1</v>
      </c>
      <c r="F884" s="8"/>
    </row>
    <row r="885" spans="1:6" ht="18" customHeight="1">
      <c r="A885" s="4" t="s">
        <v>25</v>
      </c>
      <c r="B885" s="4" t="str">
        <f>"2020030410"</f>
        <v>2020030410</v>
      </c>
      <c r="C885" s="5">
        <v>50</v>
      </c>
      <c r="D885" s="6">
        <v>45.5</v>
      </c>
      <c r="E885" s="7">
        <f t="shared" si="13"/>
        <v>95.5</v>
      </c>
      <c r="F885" s="8"/>
    </row>
    <row r="886" spans="1:6" ht="18" customHeight="1">
      <c r="A886" s="4" t="s">
        <v>25</v>
      </c>
      <c r="B886" s="4" t="str">
        <f>"2020040813"</f>
        <v>2020040813</v>
      </c>
      <c r="C886" s="5">
        <v>64.599999999999994</v>
      </c>
      <c r="D886" s="6">
        <v>12</v>
      </c>
      <c r="E886" s="7">
        <f t="shared" si="13"/>
        <v>76.599999999999994</v>
      </c>
      <c r="F886" s="8"/>
    </row>
    <row r="887" spans="1:6" ht="18" customHeight="1">
      <c r="A887" s="4" t="s">
        <v>25</v>
      </c>
      <c r="B887" s="4" t="str">
        <f>"2020011126"</f>
        <v>2020011126</v>
      </c>
      <c r="C887" s="5">
        <v>0</v>
      </c>
      <c r="D887" s="6">
        <v>0</v>
      </c>
      <c r="E887" s="7">
        <f t="shared" si="13"/>
        <v>0</v>
      </c>
      <c r="F887" s="9" t="s">
        <v>8</v>
      </c>
    </row>
    <row r="888" spans="1:6" ht="18" customHeight="1">
      <c r="A888" s="4" t="s">
        <v>25</v>
      </c>
      <c r="B888" s="4" t="str">
        <f>"2020012123"</f>
        <v>2020012123</v>
      </c>
      <c r="C888" s="5">
        <v>0</v>
      </c>
      <c r="D888" s="6">
        <v>0</v>
      </c>
      <c r="E888" s="7">
        <f t="shared" si="13"/>
        <v>0</v>
      </c>
      <c r="F888" s="9" t="s">
        <v>8</v>
      </c>
    </row>
    <row r="889" spans="1:6" ht="18" customHeight="1">
      <c r="A889" s="4" t="s">
        <v>25</v>
      </c>
      <c r="B889" s="4" t="str">
        <f>"2020021309"</f>
        <v>2020021309</v>
      </c>
      <c r="C889" s="5">
        <v>0</v>
      </c>
      <c r="D889" s="6">
        <v>0</v>
      </c>
      <c r="E889" s="7">
        <f t="shared" si="13"/>
        <v>0</v>
      </c>
      <c r="F889" s="8" t="s">
        <v>8</v>
      </c>
    </row>
    <row r="890" spans="1:6" ht="18" customHeight="1">
      <c r="A890" s="4" t="s">
        <v>25</v>
      </c>
      <c r="B890" s="4" t="str">
        <f>"2020023410"</f>
        <v>2020023410</v>
      </c>
      <c r="C890" s="5">
        <v>0</v>
      </c>
      <c r="D890" s="6">
        <v>0</v>
      </c>
      <c r="E890" s="7">
        <f t="shared" si="13"/>
        <v>0</v>
      </c>
      <c r="F890" s="8" t="s">
        <v>8</v>
      </c>
    </row>
    <row r="891" spans="1:6" ht="18" customHeight="1">
      <c r="A891" s="4" t="s">
        <v>25</v>
      </c>
      <c r="B891" s="4" t="str">
        <f>"2020030810"</f>
        <v>2020030810</v>
      </c>
      <c r="C891" s="5">
        <v>0</v>
      </c>
      <c r="D891" s="6">
        <v>0</v>
      </c>
      <c r="E891" s="7">
        <f t="shared" si="13"/>
        <v>0</v>
      </c>
      <c r="F891" s="8" t="s">
        <v>8</v>
      </c>
    </row>
    <row r="892" spans="1:6" ht="18" customHeight="1">
      <c r="A892" s="4" t="s">
        <v>25</v>
      </c>
      <c r="B892" s="4" t="str">
        <f>"2020031205"</f>
        <v>2020031205</v>
      </c>
      <c r="C892" s="5">
        <v>0</v>
      </c>
      <c r="D892" s="6">
        <v>0</v>
      </c>
      <c r="E892" s="7">
        <f t="shared" si="13"/>
        <v>0</v>
      </c>
      <c r="F892" s="8" t="s">
        <v>8</v>
      </c>
    </row>
    <row r="893" spans="1:6" ht="18" customHeight="1">
      <c r="A893" s="4" t="s">
        <v>25</v>
      </c>
      <c r="B893" s="4" t="str">
        <f>"2020031725"</f>
        <v>2020031725</v>
      </c>
      <c r="C893" s="5">
        <v>0</v>
      </c>
      <c r="D893" s="6">
        <v>0</v>
      </c>
      <c r="E893" s="7">
        <f t="shared" si="13"/>
        <v>0</v>
      </c>
      <c r="F893" s="8" t="s">
        <v>8</v>
      </c>
    </row>
    <row r="894" spans="1:6" ht="18" customHeight="1">
      <c r="A894" s="4" t="s">
        <v>25</v>
      </c>
      <c r="B894" s="4" t="str">
        <f>"2020041509"</f>
        <v>2020041509</v>
      </c>
      <c r="C894" s="5">
        <v>0</v>
      </c>
      <c r="D894" s="6">
        <v>0</v>
      </c>
      <c r="E894" s="7">
        <f t="shared" si="13"/>
        <v>0</v>
      </c>
      <c r="F894" s="8" t="s">
        <v>8</v>
      </c>
    </row>
    <row r="895" spans="1:6" ht="18" customHeight="1">
      <c r="A895" s="4" t="s">
        <v>25</v>
      </c>
      <c r="B895" s="4" t="str">
        <f>"2020042401"</f>
        <v>2020042401</v>
      </c>
      <c r="C895" s="5">
        <v>0</v>
      </c>
      <c r="D895" s="6">
        <v>0</v>
      </c>
      <c r="E895" s="7">
        <f t="shared" si="13"/>
        <v>0</v>
      </c>
      <c r="F895" s="8" t="s">
        <v>8</v>
      </c>
    </row>
    <row r="896" spans="1:6" ht="18" customHeight="1">
      <c r="A896" s="4" t="s">
        <v>26</v>
      </c>
      <c r="B896" s="4" t="str">
        <f>"2020045829"</f>
        <v>2020045829</v>
      </c>
      <c r="C896" s="5">
        <v>73.099999999999994</v>
      </c>
      <c r="D896" s="6">
        <v>67.5</v>
      </c>
      <c r="E896" s="7">
        <f t="shared" si="13"/>
        <v>140.6</v>
      </c>
      <c r="F896" s="8"/>
    </row>
    <row r="897" spans="1:6" ht="18" customHeight="1">
      <c r="A897" s="4" t="s">
        <v>26</v>
      </c>
      <c r="B897" s="4" t="str">
        <f>"2020021228"</f>
        <v>2020021228</v>
      </c>
      <c r="C897" s="5">
        <v>68.3</v>
      </c>
      <c r="D897" s="6">
        <v>67.5</v>
      </c>
      <c r="E897" s="7">
        <f t="shared" si="13"/>
        <v>135.80000000000001</v>
      </c>
      <c r="F897" s="8"/>
    </row>
    <row r="898" spans="1:6" ht="18" customHeight="1">
      <c r="A898" s="4" t="s">
        <v>26</v>
      </c>
      <c r="B898" s="4" t="str">
        <f>"2020031709"</f>
        <v>2020031709</v>
      </c>
      <c r="C898" s="5">
        <v>60.6</v>
      </c>
      <c r="D898" s="6">
        <v>73</v>
      </c>
      <c r="E898" s="7">
        <f t="shared" si="13"/>
        <v>133.6</v>
      </c>
      <c r="F898" s="8"/>
    </row>
    <row r="899" spans="1:6" ht="18" customHeight="1">
      <c r="A899" s="4" t="s">
        <v>26</v>
      </c>
      <c r="B899" s="4" t="str">
        <f>"2020020920"</f>
        <v>2020020920</v>
      </c>
      <c r="C899" s="5">
        <v>55.5</v>
      </c>
      <c r="D899" s="6">
        <v>66</v>
      </c>
      <c r="E899" s="7">
        <f t="shared" ref="E899:E962" si="14">SUM(C899:D899)</f>
        <v>121.5</v>
      </c>
      <c r="F899" s="8"/>
    </row>
    <row r="900" spans="1:6" ht="18" customHeight="1">
      <c r="A900" s="4" t="s">
        <v>26</v>
      </c>
      <c r="B900" s="4" t="str">
        <f>"2020045828"</f>
        <v>2020045828</v>
      </c>
      <c r="C900" s="5">
        <v>54.3</v>
      </c>
      <c r="D900" s="6">
        <v>58.5</v>
      </c>
      <c r="E900" s="7">
        <f t="shared" si="14"/>
        <v>112.8</v>
      </c>
      <c r="F900" s="8"/>
    </row>
    <row r="901" spans="1:6" ht="18" customHeight="1">
      <c r="A901" s="4" t="s">
        <v>26</v>
      </c>
      <c r="B901" s="4" t="str">
        <f>"2020047023"</f>
        <v>2020047023</v>
      </c>
      <c r="C901" s="5">
        <v>0</v>
      </c>
      <c r="D901" s="6">
        <v>0</v>
      </c>
      <c r="E901" s="7">
        <f t="shared" si="14"/>
        <v>0</v>
      </c>
      <c r="F901" s="8" t="s">
        <v>8</v>
      </c>
    </row>
    <row r="902" spans="1:6" ht="18" customHeight="1">
      <c r="A902" s="4" t="s">
        <v>27</v>
      </c>
      <c r="B902" s="4" t="str">
        <f>"2020033413"</f>
        <v>2020033413</v>
      </c>
      <c r="C902" s="5">
        <v>73.5</v>
      </c>
      <c r="D902" s="6">
        <v>68.5</v>
      </c>
      <c r="E902" s="7">
        <f t="shared" si="14"/>
        <v>142</v>
      </c>
      <c r="F902" s="8"/>
    </row>
    <row r="903" spans="1:6" ht="18" customHeight="1">
      <c r="A903" s="4" t="s">
        <v>27</v>
      </c>
      <c r="B903" s="4" t="str">
        <f>"2020031314"</f>
        <v>2020031314</v>
      </c>
      <c r="C903" s="5">
        <v>63.3</v>
      </c>
      <c r="D903" s="6">
        <v>76</v>
      </c>
      <c r="E903" s="7">
        <f t="shared" si="14"/>
        <v>139.30000000000001</v>
      </c>
      <c r="F903" s="8"/>
    </row>
    <row r="904" spans="1:6" ht="18" customHeight="1">
      <c r="A904" s="4" t="s">
        <v>27</v>
      </c>
      <c r="B904" s="4" t="str">
        <f>"2020030822"</f>
        <v>2020030822</v>
      </c>
      <c r="C904" s="5">
        <v>64.599999999999994</v>
      </c>
      <c r="D904" s="6">
        <v>70</v>
      </c>
      <c r="E904" s="7">
        <f t="shared" si="14"/>
        <v>134.6</v>
      </c>
      <c r="F904" s="8"/>
    </row>
    <row r="905" spans="1:6" ht="18" customHeight="1">
      <c r="A905" s="4" t="s">
        <v>27</v>
      </c>
      <c r="B905" s="4" t="str">
        <f>"2020045723"</f>
        <v>2020045723</v>
      </c>
      <c r="C905" s="5">
        <v>68</v>
      </c>
      <c r="D905" s="6">
        <v>65</v>
      </c>
      <c r="E905" s="7">
        <f t="shared" si="14"/>
        <v>133</v>
      </c>
      <c r="F905" s="8"/>
    </row>
    <row r="906" spans="1:6" ht="18" customHeight="1">
      <c r="A906" s="4" t="s">
        <v>27</v>
      </c>
      <c r="B906" s="4" t="str">
        <f>"2020042807"</f>
        <v>2020042807</v>
      </c>
      <c r="C906" s="5">
        <v>67</v>
      </c>
      <c r="D906" s="6">
        <v>64.5</v>
      </c>
      <c r="E906" s="7">
        <f t="shared" si="14"/>
        <v>131.5</v>
      </c>
      <c r="F906" s="8"/>
    </row>
    <row r="907" spans="1:6" ht="18" customHeight="1">
      <c r="A907" s="4" t="s">
        <v>27</v>
      </c>
      <c r="B907" s="4" t="str">
        <f>"2020040909"</f>
        <v>2020040909</v>
      </c>
      <c r="C907" s="5">
        <v>68.099999999999994</v>
      </c>
      <c r="D907" s="6">
        <v>60</v>
      </c>
      <c r="E907" s="7">
        <f t="shared" si="14"/>
        <v>128.1</v>
      </c>
      <c r="F907" s="8"/>
    </row>
    <row r="908" spans="1:6" ht="18" customHeight="1">
      <c r="A908" s="4" t="s">
        <v>27</v>
      </c>
      <c r="B908" s="4" t="str">
        <f>"2020021410"</f>
        <v>2020021410</v>
      </c>
      <c r="C908" s="5">
        <v>67.599999999999994</v>
      </c>
      <c r="D908" s="6">
        <v>58.5</v>
      </c>
      <c r="E908" s="7">
        <f t="shared" si="14"/>
        <v>126.1</v>
      </c>
      <c r="F908" s="8"/>
    </row>
    <row r="909" spans="1:6" ht="18" customHeight="1">
      <c r="A909" s="4" t="s">
        <v>27</v>
      </c>
      <c r="B909" s="4" t="str">
        <f>"2020012002"</f>
        <v>2020012002</v>
      </c>
      <c r="C909" s="5">
        <v>63.8</v>
      </c>
      <c r="D909" s="6">
        <v>60</v>
      </c>
      <c r="E909" s="7">
        <f t="shared" si="14"/>
        <v>123.8</v>
      </c>
      <c r="F909" s="8"/>
    </row>
    <row r="910" spans="1:6" ht="18" customHeight="1">
      <c r="A910" s="4" t="s">
        <v>27</v>
      </c>
      <c r="B910" s="4" t="str">
        <f>"2020046116"</f>
        <v>2020046116</v>
      </c>
      <c r="C910" s="5">
        <v>63.3</v>
      </c>
      <c r="D910" s="6">
        <v>56</v>
      </c>
      <c r="E910" s="7">
        <f t="shared" si="14"/>
        <v>119.3</v>
      </c>
      <c r="F910" s="8"/>
    </row>
    <row r="911" spans="1:6" ht="18" customHeight="1">
      <c r="A911" s="4" t="s">
        <v>27</v>
      </c>
      <c r="B911" s="4" t="str">
        <f>"2020023322"</f>
        <v>2020023322</v>
      </c>
      <c r="C911" s="5">
        <v>60.2</v>
      </c>
      <c r="D911" s="6">
        <v>58.5</v>
      </c>
      <c r="E911" s="7">
        <f t="shared" si="14"/>
        <v>118.7</v>
      </c>
      <c r="F911" s="8"/>
    </row>
    <row r="912" spans="1:6" ht="18" customHeight="1">
      <c r="A912" s="4" t="s">
        <v>27</v>
      </c>
      <c r="B912" s="4" t="str">
        <f>"2020046015"</f>
        <v>2020046015</v>
      </c>
      <c r="C912" s="5">
        <v>64.400000000000006</v>
      </c>
      <c r="D912" s="6">
        <v>53.5</v>
      </c>
      <c r="E912" s="7">
        <f t="shared" si="14"/>
        <v>117.9</v>
      </c>
      <c r="F912" s="8"/>
    </row>
    <row r="913" spans="1:6" ht="18" customHeight="1">
      <c r="A913" s="4" t="s">
        <v>27</v>
      </c>
      <c r="B913" s="4" t="str">
        <f>"2020012226"</f>
        <v>2020012226</v>
      </c>
      <c r="C913" s="5">
        <v>63.9</v>
      </c>
      <c r="D913" s="6">
        <v>51</v>
      </c>
      <c r="E913" s="7">
        <f t="shared" si="14"/>
        <v>114.9</v>
      </c>
      <c r="F913" s="8"/>
    </row>
    <row r="914" spans="1:6" ht="18" customHeight="1">
      <c r="A914" s="4" t="s">
        <v>27</v>
      </c>
      <c r="B914" s="4" t="str">
        <f>"2020022203"</f>
        <v>2020022203</v>
      </c>
      <c r="C914" s="5">
        <v>54.8</v>
      </c>
      <c r="D914" s="6">
        <v>59</v>
      </c>
      <c r="E914" s="7">
        <f t="shared" si="14"/>
        <v>113.8</v>
      </c>
      <c r="F914" s="8"/>
    </row>
    <row r="915" spans="1:6" ht="18" customHeight="1">
      <c r="A915" s="4" t="s">
        <v>27</v>
      </c>
      <c r="B915" s="4" t="str">
        <f>"2020032222"</f>
        <v>2020032222</v>
      </c>
      <c r="C915" s="5">
        <v>58.6</v>
      </c>
      <c r="D915" s="6">
        <v>53.5</v>
      </c>
      <c r="E915" s="7">
        <f t="shared" si="14"/>
        <v>112.1</v>
      </c>
      <c r="F915" s="8"/>
    </row>
    <row r="916" spans="1:6" ht="18" customHeight="1">
      <c r="A916" s="4" t="s">
        <v>27</v>
      </c>
      <c r="B916" s="4" t="str">
        <f>"2020012610"</f>
        <v>2020012610</v>
      </c>
      <c r="C916" s="5">
        <v>59.4</v>
      </c>
      <c r="D916" s="6">
        <v>52</v>
      </c>
      <c r="E916" s="7">
        <f t="shared" si="14"/>
        <v>111.4</v>
      </c>
      <c r="F916" s="8"/>
    </row>
    <row r="917" spans="1:6" ht="18" customHeight="1">
      <c r="A917" s="4" t="s">
        <v>27</v>
      </c>
      <c r="B917" s="4" t="str">
        <f>"2020010713"</f>
        <v>2020010713</v>
      </c>
      <c r="C917" s="5">
        <v>58.9</v>
      </c>
      <c r="D917" s="6">
        <v>52.5</v>
      </c>
      <c r="E917" s="7">
        <f t="shared" si="14"/>
        <v>111.4</v>
      </c>
      <c r="F917" s="8"/>
    </row>
    <row r="918" spans="1:6" ht="18" customHeight="1">
      <c r="A918" s="4" t="s">
        <v>27</v>
      </c>
      <c r="B918" s="4" t="str">
        <f>"2020045629"</f>
        <v>2020045629</v>
      </c>
      <c r="C918" s="5">
        <v>65.900000000000006</v>
      </c>
      <c r="D918" s="6">
        <v>42.5</v>
      </c>
      <c r="E918" s="7">
        <f t="shared" si="14"/>
        <v>108.4</v>
      </c>
      <c r="F918" s="8"/>
    </row>
    <row r="919" spans="1:6" ht="18" customHeight="1">
      <c r="A919" s="4" t="s">
        <v>27</v>
      </c>
      <c r="B919" s="4" t="str">
        <f>"2020023530"</f>
        <v>2020023530</v>
      </c>
      <c r="C919" s="5">
        <v>50.8</v>
      </c>
      <c r="D919" s="6">
        <v>55.5</v>
      </c>
      <c r="E919" s="7">
        <f t="shared" si="14"/>
        <v>106.3</v>
      </c>
      <c r="F919" s="8"/>
    </row>
    <row r="920" spans="1:6" ht="18" customHeight="1">
      <c r="A920" s="4" t="s">
        <v>27</v>
      </c>
      <c r="B920" s="4" t="str">
        <f>"2020032020"</f>
        <v>2020032020</v>
      </c>
      <c r="C920" s="5">
        <v>63</v>
      </c>
      <c r="D920" s="6">
        <v>42</v>
      </c>
      <c r="E920" s="7">
        <f t="shared" si="14"/>
        <v>105</v>
      </c>
      <c r="F920" s="8"/>
    </row>
    <row r="921" spans="1:6" ht="18" customHeight="1">
      <c r="A921" s="4" t="s">
        <v>27</v>
      </c>
      <c r="B921" s="4" t="str">
        <f>"2020011428"</f>
        <v>2020011428</v>
      </c>
      <c r="C921" s="5">
        <v>56.1</v>
      </c>
      <c r="D921" s="6">
        <v>48.5</v>
      </c>
      <c r="E921" s="7">
        <f t="shared" si="14"/>
        <v>104.6</v>
      </c>
      <c r="F921" s="8"/>
    </row>
    <row r="922" spans="1:6" ht="18" customHeight="1">
      <c r="A922" s="4" t="s">
        <v>27</v>
      </c>
      <c r="B922" s="4" t="str">
        <f>"2020040121"</f>
        <v>2020040121</v>
      </c>
      <c r="C922" s="5">
        <v>59.1</v>
      </c>
      <c r="D922" s="6">
        <v>44</v>
      </c>
      <c r="E922" s="7">
        <f t="shared" si="14"/>
        <v>103.1</v>
      </c>
      <c r="F922" s="8"/>
    </row>
    <row r="923" spans="1:6" ht="18" customHeight="1">
      <c r="A923" s="4" t="s">
        <v>27</v>
      </c>
      <c r="B923" s="4" t="str">
        <f>"2020040215"</f>
        <v>2020040215</v>
      </c>
      <c r="C923" s="5">
        <v>53.2</v>
      </c>
      <c r="D923" s="6">
        <v>43</v>
      </c>
      <c r="E923" s="7">
        <f t="shared" si="14"/>
        <v>96.2</v>
      </c>
      <c r="F923" s="8"/>
    </row>
    <row r="924" spans="1:6" ht="18" customHeight="1">
      <c r="A924" s="4" t="s">
        <v>27</v>
      </c>
      <c r="B924" s="4" t="str">
        <f>"2020021005"</f>
        <v>2020021005</v>
      </c>
      <c r="C924" s="5">
        <v>58.5</v>
      </c>
      <c r="D924" s="6">
        <v>25</v>
      </c>
      <c r="E924" s="7">
        <f t="shared" si="14"/>
        <v>83.5</v>
      </c>
      <c r="F924" s="8"/>
    </row>
    <row r="925" spans="1:6" ht="18" customHeight="1">
      <c r="A925" s="4" t="s">
        <v>27</v>
      </c>
      <c r="B925" s="4" t="str">
        <f>"2020043722"</f>
        <v>2020043722</v>
      </c>
      <c r="C925" s="5">
        <v>48.5</v>
      </c>
      <c r="D925" s="6">
        <v>33</v>
      </c>
      <c r="E925" s="7">
        <f t="shared" si="14"/>
        <v>81.5</v>
      </c>
      <c r="F925" s="8"/>
    </row>
    <row r="926" spans="1:6" ht="18" customHeight="1">
      <c r="A926" s="4" t="s">
        <v>27</v>
      </c>
      <c r="B926" s="4" t="str">
        <f>"2020031311"</f>
        <v>2020031311</v>
      </c>
      <c r="C926" s="5">
        <v>0</v>
      </c>
      <c r="D926" s="6">
        <v>0</v>
      </c>
      <c r="E926" s="7">
        <f t="shared" si="14"/>
        <v>0</v>
      </c>
      <c r="F926" s="8" t="s">
        <v>8</v>
      </c>
    </row>
    <row r="927" spans="1:6" ht="18" customHeight="1">
      <c r="A927" s="4" t="s">
        <v>27</v>
      </c>
      <c r="B927" s="4" t="str">
        <f>"2020031521"</f>
        <v>2020031521</v>
      </c>
      <c r="C927" s="5">
        <v>0</v>
      </c>
      <c r="D927" s="6">
        <v>0</v>
      </c>
      <c r="E927" s="7">
        <f t="shared" si="14"/>
        <v>0</v>
      </c>
      <c r="F927" s="8" t="s">
        <v>8</v>
      </c>
    </row>
    <row r="928" spans="1:6" ht="18" customHeight="1">
      <c r="A928" s="4" t="s">
        <v>27</v>
      </c>
      <c r="B928" s="4" t="str">
        <f>"2020032801"</f>
        <v>2020032801</v>
      </c>
      <c r="C928" s="5">
        <v>0</v>
      </c>
      <c r="D928" s="6">
        <v>0</v>
      </c>
      <c r="E928" s="7">
        <f t="shared" si="14"/>
        <v>0</v>
      </c>
      <c r="F928" s="8" t="s">
        <v>8</v>
      </c>
    </row>
    <row r="929" spans="1:6" ht="18" customHeight="1">
      <c r="A929" s="4" t="s">
        <v>27</v>
      </c>
      <c r="B929" s="4" t="str">
        <f>"2020042202"</f>
        <v>2020042202</v>
      </c>
      <c r="C929" s="5">
        <v>0</v>
      </c>
      <c r="D929" s="6">
        <v>0</v>
      </c>
      <c r="E929" s="7">
        <f t="shared" si="14"/>
        <v>0</v>
      </c>
      <c r="F929" s="8" t="s">
        <v>8</v>
      </c>
    </row>
    <row r="930" spans="1:6" ht="18" customHeight="1">
      <c r="A930" s="4" t="s">
        <v>27</v>
      </c>
      <c r="B930" s="4" t="str">
        <f>"2020043409"</f>
        <v>2020043409</v>
      </c>
      <c r="C930" s="5">
        <v>0</v>
      </c>
      <c r="D930" s="6">
        <v>0</v>
      </c>
      <c r="E930" s="7">
        <f t="shared" si="14"/>
        <v>0</v>
      </c>
      <c r="F930" s="8" t="s">
        <v>8</v>
      </c>
    </row>
    <row r="931" spans="1:6" ht="18" customHeight="1">
      <c r="A931" s="4" t="s">
        <v>27</v>
      </c>
      <c r="B931" s="4" t="str">
        <f>"2020046011"</f>
        <v>2020046011</v>
      </c>
      <c r="C931" s="5">
        <v>0</v>
      </c>
      <c r="D931" s="6">
        <v>0</v>
      </c>
      <c r="E931" s="7">
        <f t="shared" si="14"/>
        <v>0</v>
      </c>
      <c r="F931" s="8" t="s">
        <v>8</v>
      </c>
    </row>
    <row r="932" spans="1:6" ht="18" customHeight="1">
      <c r="A932" s="4" t="s">
        <v>28</v>
      </c>
      <c r="B932" s="4" t="str">
        <f>"2020023013"</f>
        <v>2020023013</v>
      </c>
      <c r="C932" s="5">
        <v>73.5</v>
      </c>
      <c r="D932" s="6">
        <v>71</v>
      </c>
      <c r="E932" s="7">
        <f t="shared" si="14"/>
        <v>144.5</v>
      </c>
      <c r="F932" s="8"/>
    </row>
    <row r="933" spans="1:6" ht="18" customHeight="1">
      <c r="A933" s="4" t="s">
        <v>28</v>
      </c>
      <c r="B933" s="4" t="str">
        <f>"2020013621"</f>
        <v>2020013621</v>
      </c>
      <c r="C933" s="5">
        <v>68.099999999999994</v>
      </c>
      <c r="D933" s="6">
        <v>75</v>
      </c>
      <c r="E933" s="7">
        <f t="shared" si="14"/>
        <v>143.1</v>
      </c>
      <c r="F933" s="8"/>
    </row>
    <row r="934" spans="1:6" ht="18" customHeight="1">
      <c r="A934" s="4" t="s">
        <v>28</v>
      </c>
      <c r="B934" s="4" t="str">
        <f>"2020042311"</f>
        <v>2020042311</v>
      </c>
      <c r="C934" s="5">
        <v>73.2</v>
      </c>
      <c r="D934" s="6">
        <v>69.5</v>
      </c>
      <c r="E934" s="7">
        <f t="shared" si="14"/>
        <v>142.69999999999999</v>
      </c>
      <c r="F934" s="8"/>
    </row>
    <row r="935" spans="1:6" ht="18" customHeight="1">
      <c r="A935" s="4" t="s">
        <v>28</v>
      </c>
      <c r="B935" s="4" t="str">
        <f>"2020021511"</f>
        <v>2020021511</v>
      </c>
      <c r="C935" s="5">
        <v>71.3</v>
      </c>
      <c r="D935" s="6">
        <v>69.5</v>
      </c>
      <c r="E935" s="7">
        <f t="shared" si="14"/>
        <v>140.80000000000001</v>
      </c>
      <c r="F935" s="8"/>
    </row>
    <row r="936" spans="1:6" ht="18" customHeight="1">
      <c r="A936" s="4" t="s">
        <v>28</v>
      </c>
      <c r="B936" s="4" t="str">
        <f>"2020030120"</f>
        <v>2020030120</v>
      </c>
      <c r="C936" s="5">
        <v>76.5</v>
      </c>
      <c r="D936" s="6">
        <v>62.5</v>
      </c>
      <c r="E936" s="7">
        <f t="shared" si="14"/>
        <v>139</v>
      </c>
      <c r="F936" s="8"/>
    </row>
    <row r="937" spans="1:6" ht="18" customHeight="1">
      <c r="A937" s="4" t="s">
        <v>28</v>
      </c>
      <c r="B937" s="4" t="str">
        <f>"2020031016"</f>
        <v>2020031016</v>
      </c>
      <c r="C937" s="5">
        <v>68.2</v>
      </c>
      <c r="D937" s="6">
        <v>69</v>
      </c>
      <c r="E937" s="7">
        <f t="shared" si="14"/>
        <v>137.19999999999999</v>
      </c>
      <c r="F937" s="8"/>
    </row>
    <row r="938" spans="1:6" ht="18" customHeight="1">
      <c r="A938" s="4" t="s">
        <v>28</v>
      </c>
      <c r="B938" s="4" t="str">
        <f>"2020044209"</f>
        <v>2020044209</v>
      </c>
      <c r="C938" s="5">
        <v>74.3</v>
      </c>
      <c r="D938" s="6">
        <v>61</v>
      </c>
      <c r="E938" s="7">
        <f t="shared" si="14"/>
        <v>135.30000000000001</v>
      </c>
      <c r="F938" s="8"/>
    </row>
    <row r="939" spans="1:6" ht="18" customHeight="1">
      <c r="A939" s="4" t="s">
        <v>28</v>
      </c>
      <c r="B939" s="4" t="str">
        <f>"2020021505"</f>
        <v>2020021505</v>
      </c>
      <c r="C939" s="5">
        <v>70.5</v>
      </c>
      <c r="D939" s="6">
        <v>64.5</v>
      </c>
      <c r="E939" s="7">
        <f t="shared" si="14"/>
        <v>135</v>
      </c>
      <c r="F939" s="8"/>
    </row>
    <row r="940" spans="1:6" ht="18" customHeight="1">
      <c r="A940" s="4" t="s">
        <v>28</v>
      </c>
      <c r="B940" s="4" t="str">
        <f>"2020046127"</f>
        <v>2020046127</v>
      </c>
      <c r="C940" s="5">
        <v>69.8</v>
      </c>
      <c r="D940" s="6">
        <v>63</v>
      </c>
      <c r="E940" s="7">
        <f t="shared" si="14"/>
        <v>132.80000000000001</v>
      </c>
      <c r="F940" s="8"/>
    </row>
    <row r="941" spans="1:6" ht="18" customHeight="1">
      <c r="A941" s="4" t="s">
        <v>28</v>
      </c>
      <c r="B941" s="4" t="str">
        <f>"2020043811"</f>
        <v>2020043811</v>
      </c>
      <c r="C941" s="5">
        <v>67.599999999999994</v>
      </c>
      <c r="D941" s="6">
        <v>63.5</v>
      </c>
      <c r="E941" s="7">
        <f t="shared" si="14"/>
        <v>131.1</v>
      </c>
      <c r="F941" s="8"/>
    </row>
    <row r="942" spans="1:6" ht="18" customHeight="1">
      <c r="A942" s="4" t="s">
        <v>28</v>
      </c>
      <c r="B942" s="4" t="str">
        <f>"2020032428"</f>
        <v>2020032428</v>
      </c>
      <c r="C942" s="5">
        <v>67</v>
      </c>
      <c r="D942" s="6">
        <v>64</v>
      </c>
      <c r="E942" s="7">
        <f t="shared" si="14"/>
        <v>131</v>
      </c>
      <c r="F942" s="8"/>
    </row>
    <row r="943" spans="1:6" ht="18" customHeight="1">
      <c r="A943" s="4" t="s">
        <v>28</v>
      </c>
      <c r="B943" s="4" t="str">
        <f>"2020011414"</f>
        <v>2020011414</v>
      </c>
      <c r="C943" s="5">
        <v>70.3</v>
      </c>
      <c r="D943" s="6">
        <v>60.5</v>
      </c>
      <c r="E943" s="7">
        <f t="shared" si="14"/>
        <v>130.80000000000001</v>
      </c>
      <c r="F943" s="8"/>
    </row>
    <row r="944" spans="1:6" ht="18" customHeight="1">
      <c r="A944" s="4" t="s">
        <v>28</v>
      </c>
      <c r="B944" s="4" t="str">
        <f>"2020013321"</f>
        <v>2020013321</v>
      </c>
      <c r="C944" s="5">
        <v>68.5</v>
      </c>
      <c r="D944" s="6">
        <v>60.5</v>
      </c>
      <c r="E944" s="7">
        <f t="shared" si="14"/>
        <v>129</v>
      </c>
      <c r="F944" s="8"/>
    </row>
    <row r="945" spans="1:6" ht="18" customHeight="1">
      <c r="A945" s="4" t="s">
        <v>28</v>
      </c>
      <c r="B945" s="4" t="str">
        <f>"2020040602"</f>
        <v>2020040602</v>
      </c>
      <c r="C945" s="5">
        <v>66.3</v>
      </c>
      <c r="D945" s="6">
        <v>62.5</v>
      </c>
      <c r="E945" s="7">
        <f t="shared" si="14"/>
        <v>128.80000000000001</v>
      </c>
      <c r="F945" s="8"/>
    </row>
    <row r="946" spans="1:6" ht="18" customHeight="1">
      <c r="A946" s="4" t="s">
        <v>28</v>
      </c>
      <c r="B946" s="4" t="str">
        <f>"2020040710"</f>
        <v>2020040710</v>
      </c>
      <c r="C946" s="5">
        <v>65.900000000000006</v>
      </c>
      <c r="D946" s="6">
        <v>62</v>
      </c>
      <c r="E946" s="7">
        <f t="shared" si="14"/>
        <v>127.9</v>
      </c>
      <c r="F946" s="8"/>
    </row>
    <row r="947" spans="1:6" ht="18" customHeight="1">
      <c r="A947" s="4" t="s">
        <v>28</v>
      </c>
      <c r="B947" s="4" t="str">
        <f>"2020040806"</f>
        <v>2020040806</v>
      </c>
      <c r="C947" s="5">
        <v>62.3</v>
      </c>
      <c r="D947" s="6">
        <v>65.5</v>
      </c>
      <c r="E947" s="7">
        <f t="shared" si="14"/>
        <v>127.8</v>
      </c>
      <c r="F947" s="8"/>
    </row>
    <row r="948" spans="1:6" ht="18" customHeight="1">
      <c r="A948" s="4" t="s">
        <v>28</v>
      </c>
      <c r="B948" s="4" t="str">
        <f>"2020024320"</f>
        <v>2020024320</v>
      </c>
      <c r="C948" s="5">
        <v>76.5</v>
      </c>
      <c r="D948" s="6">
        <v>51</v>
      </c>
      <c r="E948" s="7">
        <f t="shared" si="14"/>
        <v>127.5</v>
      </c>
      <c r="F948" s="8"/>
    </row>
    <row r="949" spans="1:6" ht="18" customHeight="1">
      <c r="A949" s="4" t="s">
        <v>28</v>
      </c>
      <c r="B949" s="4" t="str">
        <f>"2020046617"</f>
        <v>2020046617</v>
      </c>
      <c r="C949" s="5">
        <v>65.7</v>
      </c>
      <c r="D949" s="6">
        <v>58.5</v>
      </c>
      <c r="E949" s="7">
        <f t="shared" si="14"/>
        <v>124.2</v>
      </c>
      <c r="F949" s="8"/>
    </row>
    <row r="950" spans="1:6" ht="18" customHeight="1">
      <c r="A950" s="4" t="s">
        <v>28</v>
      </c>
      <c r="B950" s="4" t="str">
        <f>"2020044204"</f>
        <v>2020044204</v>
      </c>
      <c r="C950" s="5">
        <v>60.3</v>
      </c>
      <c r="D950" s="6">
        <v>61</v>
      </c>
      <c r="E950" s="7">
        <f t="shared" si="14"/>
        <v>121.3</v>
      </c>
      <c r="F950" s="8"/>
    </row>
    <row r="951" spans="1:6" ht="18" customHeight="1">
      <c r="A951" s="4" t="s">
        <v>28</v>
      </c>
      <c r="B951" s="4" t="str">
        <f>"2020013023"</f>
        <v>2020013023</v>
      </c>
      <c r="C951" s="5">
        <v>62.9</v>
      </c>
      <c r="D951" s="6">
        <v>53.5</v>
      </c>
      <c r="E951" s="7">
        <f t="shared" si="14"/>
        <v>116.4</v>
      </c>
      <c r="F951" s="8"/>
    </row>
    <row r="952" spans="1:6" ht="18" customHeight="1">
      <c r="A952" s="4" t="s">
        <v>28</v>
      </c>
      <c r="B952" s="4" t="str">
        <f>"2020030520"</f>
        <v>2020030520</v>
      </c>
      <c r="C952" s="5">
        <v>58.8</v>
      </c>
      <c r="D952" s="6">
        <v>57.5</v>
      </c>
      <c r="E952" s="7">
        <f t="shared" si="14"/>
        <v>116.3</v>
      </c>
      <c r="F952" s="8"/>
    </row>
    <row r="953" spans="1:6" ht="18" customHeight="1">
      <c r="A953" s="4" t="s">
        <v>28</v>
      </c>
      <c r="B953" s="4" t="str">
        <f>"2020021601"</f>
        <v>2020021601</v>
      </c>
      <c r="C953" s="5">
        <v>56.7</v>
      </c>
      <c r="D953" s="6">
        <v>56</v>
      </c>
      <c r="E953" s="7">
        <f t="shared" si="14"/>
        <v>112.7</v>
      </c>
      <c r="F953" s="8"/>
    </row>
    <row r="954" spans="1:6" ht="18" customHeight="1">
      <c r="A954" s="4" t="s">
        <v>28</v>
      </c>
      <c r="B954" s="4" t="str">
        <f>"2020041016"</f>
        <v>2020041016</v>
      </c>
      <c r="C954" s="5">
        <v>56.6</v>
      </c>
      <c r="D954" s="6">
        <v>55.5</v>
      </c>
      <c r="E954" s="7">
        <f t="shared" si="14"/>
        <v>112.1</v>
      </c>
      <c r="F954" s="8"/>
    </row>
    <row r="955" spans="1:6" ht="18" customHeight="1">
      <c r="A955" s="4" t="s">
        <v>28</v>
      </c>
      <c r="B955" s="4" t="str">
        <f>"2020046805"</f>
        <v>2020046805</v>
      </c>
      <c r="C955" s="5">
        <v>59.8</v>
      </c>
      <c r="D955" s="6">
        <v>52</v>
      </c>
      <c r="E955" s="7">
        <f t="shared" si="14"/>
        <v>111.8</v>
      </c>
      <c r="F955" s="8"/>
    </row>
    <row r="956" spans="1:6" ht="18" customHeight="1">
      <c r="A956" s="4" t="s">
        <v>28</v>
      </c>
      <c r="B956" s="4" t="str">
        <f>"2020042004"</f>
        <v>2020042004</v>
      </c>
      <c r="C956" s="5">
        <v>62.6</v>
      </c>
      <c r="D956" s="6">
        <v>43</v>
      </c>
      <c r="E956" s="7">
        <f t="shared" si="14"/>
        <v>105.6</v>
      </c>
      <c r="F956" s="8"/>
    </row>
    <row r="957" spans="1:6" ht="18" customHeight="1">
      <c r="A957" s="4" t="s">
        <v>28</v>
      </c>
      <c r="B957" s="4" t="str">
        <f>"2020040619"</f>
        <v>2020040619</v>
      </c>
      <c r="C957" s="5">
        <v>68.5</v>
      </c>
      <c r="D957" s="6">
        <v>21</v>
      </c>
      <c r="E957" s="7">
        <f t="shared" si="14"/>
        <v>89.5</v>
      </c>
      <c r="F957" s="8"/>
    </row>
    <row r="958" spans="1:6" ht="18" customHeight="1">
      <c r="A958" s="4" t="s">
        <v>28</v>
      </c>
      <c r="B958" s="4" t="str">
        <f>"2020012513"</f>
        <v>2020012513</v>
      </c>
      <c r="C958" s="5">
        <v>0</v>
      </c>
      <c r="D958" s="6">
        <v>0</v>
      </c>
      <c r="E958" s="7">
        <f t="shared" si="14"/>
        <v>0</v>
      </c>
      <c r="F958" s="9" t="s">
        <v>8</v>
      </c>
    </row>
    <row r="959" spans="1:6" ht="18" customHeight="1">
      <c r="A959" s="4" t="s">
        <v>28</v>
      </c>
      <c r="B959" s="4" t="str">
        <f>"2020013401"</f>
        <v>2020013401</v>
      </c>
      <c r="C959" s="5">
        <v>0</v>
      </c>
      <c r="D959" s="6">
        <v>0</v>
      </c>
      <c r="E959" s="7">
        <f t="shared" si="14"/>
        <v>0</v>
      </c>
      <c r="F959" s="9" t="s">
        <v>8</v>
      </c>
    </row>
    <row r="960" spans="1:6" ht="18" customHeight="1">
      <c r="A960" s="4" t="s">
        <v>28</v>
      </c>
      <c r="B960" s="4" t="str">
        <f>"2020013528"</f>
        <v>2020013528</v>
      </c>
      <c r="C960" s="5">
        <v>0</v>
      </c>
      <c r="D960" s="6">
        <v>0</v>
      </c>
      <c r="E960" s="7">
        <f t="shared" si="14"/>
        <v>0</v>
      </c>
      <c r="F960" s="9" t="s">
        <v>8</v>
      </c>
    </row>
    <row r="961" spans="1:6" ht="18" customHeight="1">
      <c r="A961" s="4" t="s">
        <v>28</v>
      </c>
      <c r="B961" s="4" t="str">
        <f>"2020013905"</f>
        <v>2020013905</v>
      </c>
      <c r="C961" s="5">
        <v>0</v>
      </c>
      <c r="D961" s="6">
        <v>0</v>
      </c>
      <c r="E961" s="7">
        <f t="shared" si="14"/>
        <v>0</v>
      </c>
      <c r="F961" s="9" t="s">
        <v>8</v>
      </c>
    </row>
    <row r="962" spans="1:6" ht="18" customHeight="1">
      <c r="A962" s="4" t="s">
        <v>28</v>
      </c>
      <c r="B962" s="4" t="str">
        <f>"2020021712"</f>
        <v>2020021712</v>
      </c>
      <c r="C962" s="5">
        <v>0</v>
      </c>
      <c r="D962" s="6">
        <v>0</v>
      </c>
      <c r="E962" s="7">
        <f t="shared" si="14"/>
        <v>0</v>
      </c>
      <c r="F962" s="8" t="s">
        <v>8</v>
      </c>
    </row>
    <row r="963" spans="1:6" ht="18" customHeight="1">
      <c r="A963" s="4" t="s">
        <v>28</v>
      </c>
      <c r="B963" s="4" t="str">
        <f>"2020030512"</f>
        <v>2020030512</v>
      </c>
      <c r="C963" s="5">
        <v>0</v>
      </c>
      <c r="D963" s="6">
        <v>0</v>
      </c>
      <c r="E963" s="7">
        <f t="shared" ref="E963:E1026" si="15">SUM(C963:D963)</f>
        <v>0</v>
      </c>
      <c r="F963" s="8" t="s">
        <v>8</v>
      </c>
    </row>
    <row r="964" spans="1:6" ht="18" customHeight="1">
      <c r="A964" s="4" t="s">
        <v>28</v>
      </c>
      <c r="B964" s="4" t="str">
        <f>"2020041406"</f>
        <v>2020041406</v>
      </c>
      <c r="C964" s="5">
        <v>0</v>
      </c>
      <c r="D964" s="6">
        <v>0</v>
      </c>
      <c r="E964" s="7">
        <f t="shared" si="15"/>
        <v>0</v>
      </c>
      <c r="F964" s="8" t="s">
        <v>8</v>
      </c>
    </row>
    <row r="965" spans="1:6" ht="18" customHeight="1">
      <c r="A965" s="4" t="s">
        <v>28</v>
      </c>
      <c r="B965" s="4" t="str">
        <f>"2020043130"</f>
        <v>2020043130</v>
      </c>
      <c r="C965" s="5">
        <v>0</v>
      </c>
      <c r="D965" s="6">
        <v>0</v>
      </c>
      <c r="E965" s="7">
        <f t="shared" si="15"/>
        <v>0</v>
      </c>
      <c r="F965" s="8" t="s">
        <v>8</v>
      </c>
    </row>
    <row r="966" spans="1:6" ht="18" customHeight="1">
      <c r="A966" s="4" t="s">
        <v>28</v>
      </c>
      <c r="B966" s="4" t="str">
        <f>"2020046928"</f>
        <v>2020046928</v>
      </c>
      <c r="C966" s="5">
        <v>0</v>
      </c>
      <c r="D966" s="6">
        <v>0</v>
      </c>
      <c r="E966" s="7">
        <f t="shared" si="15"/>
        <v>0</v>
      </c>
      <c r="F966" s="8" t="s">
        <v>8</v>
      </c>
    </row>
    <row r="967" spans="1:6" ht="18" customHeight="1">
      <c r="A967" s="4" t="s">
        <v>29</v>
      </c>
      <c r="B967" s="4" t="str">
        <f>"2020020125"</f>
        <v>2020020125</v>
      </c>
      <c r="C967" s="5">
        <v>76.3</v>
      </c>
      <c r="D967" s="6">
        <v>83</v>
      </c>
      <c r="E967" s="7">
        <f t="shared" si="15"/>
        <v>159.30000000000001</v>
      </c>
      <c r="F967" s="8"/>
    </row>
    <row r="968" spans="1:6" ht="18" customHeight="1">
      <c r="A968" s="4" t="s">
        <v>29</v>
      </c>
      <c r="B968" s="4" t="str">
        <f>"2020013515"</f>
        <v>2020013515</v>
      </c>
      <c r="C968" s="5">
        <v>65</v>
      </c>
      <c r="D968" s="6">
        <v>71</v>
      </c>
      <c r="E968" s="7">
        <f t="shared" si="15"/>
        <v>136</v>
      </c>
      <c r="F968" s="8"/>
    </row>
    <row r="969" spans="1:6" ht="18" customHeight="1">
      <c r="A969" s="4" t="s">
        <v>29</v>
      </c>
      <c r="B969" s="4" t="str">
        <f>"2020043525"</f>
        <v>2020043525</v>
      </c>
      <c r="C969" s="5">
        <v>61.4</v>
      </c>
      <c r="D969" s="6">
        <v>64</v>
      </c>
      <c r="E969" s="7">
        <f t="shared" si="15"/>
        <v>125.4</v>
      </c>
      <c r="F969" s="8"/>
    </row>
    <row r="970" spans="1:6" ht="18" customHeight="1">
      <c r="A970" s="4" t="s">
        <v>29</v>
      </c>
      <c r="B970" s="4" t="str">
        <f>"2020047320"</f>
        <v>2020047320</v>
      </c>
      <c r="C970" s="5">
        <v>0</v>
      </c>
      <c r="D970" s="6">
        <v>0</v>
      </c>
      <c r="E970" s="7">
        <f t="shared" si="15"/>
        <v>0</v>
      </c>
      <c r="F970" s="8" t="s">
        <v>8</v>
      </c>
    </row>
    <row r="971" spans="1:6" ht="18" customHeight="1">
      <c r="A971" s="4" t="s">
        <v>30</v>
      </c>
      <c r="B971" s="4" t="str">
        <f>"2020033707"</f>
        <v>2020033707</v>
      </c>
      <c r="C971" s="5">
        <v>70.900000000000006</v>
      </c>
      <c r="D971" s="6">
        <v>89.5</v>
      </c>
      <c r="E971" s="7">
        <f t="shared" si="15"/>
        <v>160.4</v>
      </c>
      <c r="F971" s="8"/>
    </row>
    <row r="972" spans="1:6" ht="18" customHeight="1">
      <c r="A972" s="4" t="s">
        <v>30</v>
      </c>
      <c r="B972" s="4" t="str">
        <f>"2020022906"</f>
        <v>2020022906</v>
      </c>
      <c r="C972" s="5">
        <v>73.099999999999994</v>
      </c>
      <c r="D972" s="6">
        <v>84</v>
      </c>
      <c r="E972" s="7">
        <f t="shared" si="15"/>
        <v>157.1</v>
      </c>
      <c r="F972" s="8"/>
    </row>
    <row r="973" spans="1:6" ht="18" customHeight="1">
      <c r="A973" s="4" t="s">
        <v>30</v>
      </c>
      <c r="B973" s="4" t="str">
        <f>"2020022222"</f>
        <v>2020022222</v>
      </c>
      <c r="C973" s="5">
        <v>73.3</v>
      </c>
      <c r="D973" s="6">
        <v>80</v>
      </c>
      <c r="E973" s="7">
        <f t="shared" si="15"/>
        <v>153.30000000000001</v>
      </c>
      <c r="F973" s="8"/>
    </row>
    <row r="974" spans="1:6" ht="18" customHeight="1">
      <c r="A974" s="4" t="s">
        <v>30</v>
      </c>
      <c r="B974" s="4" t="str">
        <f>"2020043118"</f>
        <v>2020043118</v>
      </c>
      <c r="C974" s="5">
        <v>76.099999999999994</v>
      </c>
      <c r="D974" s="6">
        <v>75.5</v>
      </c>
      <c r="E974" s="7">
        <f t="shared" si="15"/>
        <v>151.6</v>
      </c>
      <c r="F974" s="8"/>
    </row>
    <row r="975" spans="1:6" ht="18" customHeight="1">
      <c r="A975" s="4" t="s">
        <v>30</v>
      </c>
      <c r="B975" s="4" t="str">
        <f>"2020032212"</f>
        <v>2020032212</v>
      </c>
      <c r="C975" s="5">
        <v>65.7</v>
      </c>
      <c r="D975" s="6">
        <v>85.5</v>
      </c>
      <c r="E975" s="7">
        <f t="shared" si="15"/>
        <v>151.19999999999999</v>
      </c>
      <c r="F975" s="8"/>
    </row>
    <row r="976" spans="1:6" ht="18" customHeight="1">
      <c r="A976" s="4" t="s">
        <v>30</v>
      </c>
      <c r="B976" s="4" t="str">
        <f>"2020032923"</f>
        <v>2020032923</v>
      </c>
      <c r="C976" s="5">
        <v>71.400000000000006</v>
      </c>
      <c r="D976" s="6">
        <v>78</v>
      </c>
      <c r="E976" s="7">
        <f t="shared" si="15"/>
        <v>149.4</v>
      </c>
      <c r="F976" s="8"/>
    </row>
    <row r="977" spans="1:6" ht="18" customHeight="1">
      <c r="A977" s="4" t="s">
        <v>30</v>
      </c>
      <c r="B977" s="4" t="str">
        <f>"2020023126"</f>
        <v>2020023126</v>
      </c>
      <c r="C977" s="5">
        <v>74.5</v>
      </c>
      <c r="D977" s="6">
        <v>72</v>
      </c>
      <c r="E977" s="7">
        <f t="shared" si="15"/>
        <v>146.5</v>
      </c>
      <c r="F977" s="8"/>
    </row>
    <row r="978" spans="1:6" ht="18" customHeight="1">
      <c r="A978" s="4" t="s">
        <v>30</v>
      </c>
      <c r="B978" s="4" t="str">
        <f>"2020023715"</f>
        <v>2020023715</v>
      </c>
      <c r="C978" s="5">
        <v>68.3</v>
      </c>
      <c r="D978" s="6">
        <v>76</v>
      </c>
      <c r="E978" s="7">
        <f t="shared" si="15"/>
        <v>144.30000000000001</v>
      </c>
      <c r="F978" s="8"/>
    </row>
    <row r="979" spans="1:6" ht="18" customHeight="1">
      <c r="A979" s="4" t="s">
        <v>30</v>
      </c>
      <c r="B979" s="4" t="str">
        <f>"2020011021"</f>
        <v>2020011021</v>
      </c>
      <c r="C979" s="5">
        <v>68</v>
      </c>
      <c r="D979" s="6">
        <v>74.5</v>
      </c>
      <c r="E979" s="7">
        <f t="shared" si="15"/>
        <v>142.5</v>
      </c>
      <c r="F979" s="8"/>
    </row>
    <row r="980" spans="1:6" ht="18" customHeight="1">
      <c r="A980" s="4" t="s">
        <v>30</v>
      </c>
      <c r="B980" s="4" t="str">
        <f>"2020046325"</f>
        <v>2020046325</v>
      </c>
      <c r="C980" s="5">
        <v>65.099999999999994</v>
      </c>
      <c r="D980" s="6">
        <v>76.5</v>
      </c>
      <c r="E980" s="7">
        <f t="shared" si="15"/>
        <v>141.6</v>
      </c>
      <c r="F980" s="8"/>
    </row>
    <row r="981" spans="1:6" ht="18" customHeight="1">
      <c r="A981" s="4" t="s">
        <v>30</v>
      </c>
      <c r="B981" s="4" t="str">
        <f>"2020041906"</f>
        <v>2020041906</v>
      </c>
      <c r="C981" s="5">
        <v>72.3</v>
      </c>
      <c r="D981" s="6">
        <v>68.5</v>
      </c>
      <c r="E981" s="7">
        <f t="shared" si="15"/>
        <v>140.80000000000001</v>
      </c>
      <c r="F981" s="8"/>
    </row>
    <row r="982" spans="1:6" ht="18" customHeight="1">
      <c r="A982" s="4" t="s">
        <v>30</v>
      </c>
      <c r="B982" s="4" t="str">
        <f>"2020031306"</f>
        <v>2020031306</v>
      </c>
      <c r="C982" s="5">
        <v>64.400000000000006</v>
      </c>
      <c r="D982" s="6">
        <v>76</v>
      </c>
      <c r="E982" s="7">
        <f t="shared" si="15"/>
        <v>140.4</v>
      </c>
      <c r="F982" s="8"/>
    </row>
    <row r="983" spans="1:6" ht="18" customHeight="1">
      <c r="A983" s="4" t="s">
        <v>30</v>
      </c>
      <c r="B983" s="4" t="str">
        <f>"2020040603"</f>
        <v>2020040603</v>
      </c>
      <c r="C983" s="5">
        <v>61.6</v>
      </c>
      <c r="D983" s="6">
        <v>78.5</v>
      </c>
      <c r="E983" s="7">
        <f t="shared" si="15"/>
        <v>140.1</v>
      </c>
      <c r="F983" s="8"/>
    </row>
    <row r="984" spans="1:6" ht="18" customHeight="1">
      <c r="A984" s="4" t="s">
        <v>30</v>
      </c>
      <c r="B984" s="4" t="str">
        <f>"2020030220"</f>
        <v>2020030220</v>
      </c>
      <c r="C984" s="5">
        <v>67.5</v>
      </c>
      <c r="D984" s="6">
        <v>72</v>
      </c>
      <c r="E984" s="7">
        <f t="shared" si="15"/>
        <v>139.5</v>
      </c>
      <c r="F984" s="8"/>
    </row>
    <row r="985" spans="1:6" ht="18" customHeight="1">
      <c r="A985" s="4" t="s">
        <v>30</v>
      </c>
      <c r="B985" s="4" t="str">
        <f>"2020031210"</f>
        <v>2020031210</v>
      </c>
      <c r="C985" s="5">
        <v>69.900000000000006</v>
      </c>
      <c r="D985" s="6">
        <v>69.5</v>
      </c>
      <c r="E985" s="7">
        <f t="shared" si="15"/>
        <v>139.4</v>
      </c>
      <c r="F985" s="8"/>
    </row>
    <row r="986" spans="1:6" ht="18" customHeight="1">
      <c r="A986" s="4" t="s">
        <v>30</v>
      </c>
      <c r="B986" s="4" t="str">
        <f>"2020031407"</f>
        <v>2020031407</v>
      </c>
      <c r="C986" s="5">
        <v>74.5</v>
      </c>
      <c r="D986" s="6">
        <v>64.5</v>
      </c>
      <c r="E986" s="7">
        <f t="shared" si="15"/>
        <v>139</v>
      </c>
      <c r="F986" s="8"/>
    </row>
    <row r="987" spans="1:6" ht="18" customHeight="1">
      <c r="A987" s="4" t="s">
        <v>30</v>
      </c>
      <c r="B987" s="4" t="str">
        <f>"2020013202"</f>
        <v>2020013202</v>
      </c>
      <c r="C987" s="5">
        <v>75.8</v>
      </c>
      <c r="D987" s="6">
        <v>61.5</v>
      </c>
      <c r="E987" s="7">
        <f t="shared" si="15"/>
        <v>137.30000000000001</v>
      </c>
      <c r="F987" s="8"/>
    </row>
    <row r="988" spans="1:6" ht="18" customHeight="1">
      <c r="A988" s="4" t="s">
        <v>30</v>
      </c>
      <c r="B988" s="4" t="str">
        <f>"2020033714"</f>
        <v>2020033714</v>
      </c>
      <c r="C988" s="5">
        <v>64.900000000000006</v>
      </c>
      <c r="D988" s="6">
        <v>70.5</v>
      </c>
      <c r="E988" s="7">
        <f t="shared" si="15"/>
        <v>135.4</v>
      </c>
      <c r="F988" s="8"/>
    </row>
    <row r="989" spans="1:6" ht="18" customHeight="1">
      <c r="A989" s="4" t="s">
        <v>30</v>
      </c>
      <c r="B989" s="4" t="str">
        <f>"2020012926"</f>
        <v>2020012926</v>
      </c>
      <c r="C989" s="5">
        <v>70.599999999999994</v>
      </c>
      <c r="D989" s="6">
        <v>64</v>
      </c>
      <c r="E989" s="7">
        <f t="shared" si="15"/>
        <v>134.6</v>
      </c>
      <c r="F989" s="8"/>
    </row>
    <row r="990" spans="1:6" ht="18" customHeight="1">
      <c r="A990" s="4" t="s">
        <v>30</v>
      </c>
      <c r="B990" s="4" t="str">
        <f>"2020033529"</f>
        <v>2020033529</v>
      </c>
      <c r="C990" s="5">
        <v>64.400000000000006</v>
      </c>
      <c r="D990" s="6">
        <v>65.5</v>
      </c>
      <c r="E990" s="7">
        <f t="shared" si="15"/>
        <v>129.9</v>
      </c>
      <c r="F990" s="8"/>
    </row>
    <row r="991" spans="1:6" ht="18" customHeight="1">
      <c r="A991" s="4" t="s">
        <v>30</v>
      </c>
      <c r="B991" s="4" t="str">
        <f>"2020010710"</f>
        <v>2020010710</v>
      </c>
      <c r="C991" s="5">
        <v>58.4</v>
      </c>
      <c r="D991" s="6">
        <v>71.5</v>
      </c>
      <c r="E991" s="7">
        <f t="shared" si="15"/>
        <v>129.9</v>
      </c>
      <c r="F991" s="8"/>
    </row>
    <row r="992" spans="1:6" ht="18" customHeight="1">
      <c r="A992" s="4" t="s">
        <v>30</v>
      </c>
      <c r="B992" s="4" t="str">
        <f>"2020020620"</f>
        <v>2020020620</v>
      </c>
      <c r="C992" s="5">
        <v>67.7</v>
      </c>
      <c r="D992" s="6">
        <v>60</v>
      </c>
      <c r="E992" s="7">
        <f t="shared" si="15"/>
        <v>127.7</v>
      </c>
      <c r="F992" s="8"/>
    </row>
    <row r="993" spans="1:6" ht="18" customHeight="1">
      <c r="A993" s="4" t="s">
        <v>30</v>
      </c>
      <c r="B993" s="4" t="str">
        <f>"2020045505"</f>
        <v>2020045505</v>
      </c>
      <c r="C993" s="5">
        <v>62.9</v>
      </c>
      <c r="D993" s="6">
        <v>63.5</v>
      </c>
      <c r="E993" s="7">
        <f t="shared" si="15"/>
        <v>126.4</v>
      </c>
      <c r="F993" s="8"/>
    </row>
    <row r="994" spans="1:6" ht="18" customHeight="1">
      <c r="A994" s="4" t="s">
        <v>30</v>
      </c>
      <c r="B994" s="4" t="str">
        <f>"2020030704"</f>
        <v>2020030704</v>
      </c>
      <c r="C994" s="5">
        <v>69.900000000000006</v>
      </c>
      <c r="D994" s="6">
        <v>56</v>
      </c>
      <c r="E994" s="7">
        <f t="shared" si="15"/>
        <v>125.9</v>
      </c>
      <c r="F994" s="8"/>
    </row>
    <row r="995" spans="1:6" ht="18" customHeight="1">
      <c r="A995" s="4" t="s">
        <v>30</v>
      </c>
      <c r="B995" s="4" t="str">
        <f>"2020044709"</f>
        <v>2020044709</v>
      </c>
      <c r="C995" s="5">
        <v>67.400000000000006</v>
      </c>
      <c r="D995" s="6">
        <v>58.5</v>
      </c>
      <c r="E995" s="7">
        <f t="shared" si="15"/>
        <v>125.9</v>
      </c>
      <c r="F995" s="8"/>
    </row>
    <row r="996" spans="1:6" ht="18" customHeight="1">
      <c r="A996" s="4" t="s">
        <v>30</v>
      </c>
      <c r="B996" s="4" t="str">
        <f>"2020046405"</f>
        <v>2020046405</v>
      </c>
      <c r="C996" s="5">
        <v>63.1</v>
      </c>
      <c r="D996" s="6">
        <v>62</v>
      </c>
      <c r="E996" s="7">
        <f t="shared" si="15"/>
        <v>125.1</v>
      </c>
      <c r="F996" s="8"/>
    </row>
    <row r="997" spans="1:6" ht="18" customHeight="1">
      <c r="A997" s="4" t="s">
        <v>30</v>
      </c>
      <c r="B997" s="4" t="str">
        <f>"2020022821"</f>
        <v>2020022821</v>
      </c>
      <c r="C997" s="5">
        <v>65.2</v>
      </c>
      <c r="D997" s="6">
        <v>59.5</v>
      </c>
      <c r="E997" s="7">
        <f t="shared" si="15"/>
        <v>124.7</v>
      </c>
      <c r="F997" s="8"/>
    </row>
    <row r="998" spans="1:6" ht="18" customHeight="1">
      <c r="A998" s="4" t="s">
        <v>30</v>
      </c>
      <c r="B998" s="4" t="str">
        <f>"2020046201"</f>
        <v>2020046201</v>
      </c>
      <c r="C998" s="5">
        <v>63.2</v>
      </c>
      <c r="D998" s="6">
        <v>59.5</v>
      </c>
      <c r="E998" s="7">
        <f t="shared" si="15"/>
        <v>122.7</v>
      </c>
      <c r="F998" s="8"/>
    </row>
    <row r="999" spans="1:6" ht="18" customHeight="1">
      <c r="A999" s="4" t="s">
        <v>30</v>
      </c>
      <c r="B999" s="4" t="str">
        <f>"2020040804"</f>
        <v>2020040804</v>
      </c>
      <c r="C999" s="5">
        <v>61.6</v>
      </c>
      <c r="D999" s="6">
        <v>60.5</v>
      </c>
      <c r="E999" s="7">
        <f t="shared" si="15"/>
        <v>122.1</v>
      </c>
      <c r="F999" s="8"/>
    </row>
    <row r="1000" spans="1:6" ht="18" customHeight="1">
      <c r="A1000" s="4" t="s">
        <v>30</v>
      </c>
      <c r="B1000" s="4" t="str">
        <f>"2020032723"</f>
        <v>2020032723</v>
      </c>
      <c r="C1000" s="5">
        <v>55.9</v>
      </c>
      <c r="D1000" s="6">
        <v>63</v>
      </c>
      <c r="E1000" s="7">
        <f t="shared" si="15"/>
        <v>118.9</v>
      </c>
      <c r="F1000" s="8"/>
    </row>
    <row r="1001" spans="1:6" ht="18" customHeight="1">
      <c r="A1001" s="4" t="s">
        <v>30</v>
      </c>
      <c r="B1001" s="4" t="str">
        <f>"2020011113"</f>
        <v>2020011113</v>
      </c>
      <c r="C1001" s="5">
        <v>62</v>
      </c>
      <c r="D1001" s="6">
        <v>53.5</v>
      </c>
      <c r="E1001" s="7">
        <f t="shared" si="15"/>
        <v>115.5</v>
      </c>
      <c r="F1001" s="8"/>
    </row>
    <row r="1002" spans="1:6" ht="18" customHeight="1">
      <c r="A1002" s="4" t="s">
        <v>30</v>
      </c>
      <c r="B1002" s="4" t="str">
        <f>"2020024305"</f>
        <v>2020024305</v>
      </c>
      <c r="C1002" s="5">
        <v>64</v>
      </c>
      <c r="D1002" s="6">
        <v>49</v>
      </c>
      <c r="E1002" s="7">
        <f t="shared" si="15"/>
        <v>113</v>
      </c>
      <c r="F1002" s="8"/>
    </row>
    <row r="1003" spans="1:6" ht="18" customHeight="1">
      <c r="A1003" s="4" t="s">
        <v>30</v>
      </c>
      <c r="B1003" s="4" t="str">
        <f>"2020010803"</f>
        <v>2020010803</v>
      </c>
      <c r="C1003" s="5">
        <v>52.8</v>
      </c>
      <c r="D1003" s="6">
        <v>57.5</v>
      </c>
      <c r="E1003" s="7">
        <f t="shared" si="15"/>
        <v>110.3</v>
      </c>
      <c r="F1003" s="8"/>
    </row>
    <row r="1004" spans="1:6" ht="18" customHeight="1">
      <c r="A1004" s="4" t="s">
        <v>30</v>
      </c>
      <c r="B1004" s="4" t="str">
        <f>"2020031219"</f>
        <v>2020031219</v>
      </c>
      <c r="C1004" s="5">
        <v>0</v>
      </c>
      <c r="D1004" s="6">
        <v>0</v>
      </c>
      <c r="E1004" s="7">
        <f t="shared" si="15"/>
        <v>0</v>
      </c>
      <c r="F1004" s="8" t="s">
        <v>8</v>
      </c>
    </row>
    <row r="1005" spans="1:6" ht="18" customHeight="1">
      <c r="A1005" s="4" t="s">
        <v>30</v>
      </c>
      <c r="B1005" s="4" t="str">
        <f>"2020040110"</f>
        <v>2020040110</v>
      </c>
      <c r="C1005" s="5">
        <v>0</v>
      </c>
      <c r="D1005" s="6">
        <v>0</v>
      </c>
      <c r="E1005" s="7">
        <f t="shared" si="15"/>
        <v>0</v>
      </c>
      <c r="F1005" s="8" t="s">
        <v>8</v>
      </c>
    </row>
    <row r="1006" spans="1:6" ht="18" customHeight="1">
      <c r="A1006" s="4" t="s">
        <v>30</v>
      </c>
      <c r="B1006" s="4" t="str">
        <f>"2020042301"</f>
        <v>2020042301</v>
      </c>
      <c r="C1006" s="5">
        <v>0</v>
      </c>
      <c r="D1006" s="6">
        <v>0</v>
      </c>
      <c r="E1006" s="7">
        <f t="shared" si="15"/>
        <v>0</v>
      </c>
      <c r="F1006" s="8" t="s">
        <v>8</v>
      </c>
    </row>
    <row r="1007" spans="1:6" ht="18" customHeight="1">
      <c r="A1007" s="4" t="s">
        <v>30</v>
      </c>
      <c r="B1007" s="4" t="str">
        <f>"2020046428"</f>
        <v>2020046428</v>
      </c>
      <c r="C1007" s="5">
        <v>0</v>
      </c>
      <c r="D1007" s="6">
        <v>0</v>
      </c>
      <c r="E1007" s="7">
        <f t="shared" si="15"/>
        <v>0</v>
      </c>
      <c r="F1007" s="8" t="s">
        <v>8</v>
      </c>
    </row>
    <row r="1008" spans="1:6" ht="18" customHeight="1">
      <c r="A1008" s="4" t="s">
        <v>31</v>
      </c>
      <c r="B1008" s="4" t="str">
        <f>"2020011317"</f>
        <v>2020011317</v>
      </c>
      <c r="C1008" s="5">
        <v>74.900000000000006</v>
      </c>
      <c r="D1008" s="6">
        <v>84</v>
      </c>
      <c r="E1008" s="7">
        <f t="shared" si="15"/>
        <v>158.9</v>
      </c>
      <c r="F1008" s="8"/>
    </row>
    <row r="1009" spans="1:6" ht="18" customHeight="1">
      <c r="A1009" s="4" t="s">
        <v>31</v>
      </c>
      <c r="B1009" s="4" t="str">
        <f>"2020030729"</f>
        <v>2020030729</v>
      </c>
      <c r="C1009" s="5">
        <v>77.3</v>
      </c>
      <c r="D1009" s="6">
        <v>75</v>
      </c>
      <c r="E1009" s="7">
        <f t="shared" si="15"/>
        <v>152.30000000000001</v>
      </c>
      <c r="F1009" s="8"/>
    </row>
    <row r="1010" spans="1:6" ht="18" customHeight="1">
      <c r="A1010" s="4" t="s">
        <v>31</v>
      </c>
      <c r="B1010" s="4" t="str">
        <f>"2020046424"</f>
        <v>2020046424</v>
      </c>
      <c r="C1010" s="5">
        <v>74.900000000000006</v>
      </c>
      <c r="D1010" s="6">
        <v>76</v>
      </c>
      <c r="E1010" s="7">
        <f t="shared" si="15"/>
        <v>150.9</v>
      </c>
      <c r="F1010" s="8"/>
    </row>
    <row r="1011" spans="1:6" ht="18" customHeight="1">
      <c r="A1011" s="4" t="s">
        <v>31</v>
      </c>
      <c r="B1011" s="4" t="str">
        <f>"2020011619"</f>
        <v>2020011619</v>
      </c>
      <c r="C1011" s="5">
        <v>77.599999999999994</v>
      </c>
      <c r="D1011" s="6">
        <v>73</v>
      </c>
      <c r="E1011" s="7">
        <f t="shared" si="15"/>
        <v>150.6</v>
      </c>
      <c r="F1011" s="8"/>
    </row>
    <row r="1012" spans="1:6" ht="18" customHeight="1">
      <c r="A1012" s="4" t="s">
        <v>31</v>
      </c>
      <c r="B1012" s="4" t="str">
        <f>"2020010328"</f>
        <v>2020010328</v>
      </c>
      <c r="C1012" s="5">
        <v>72.599999999999994</v>
      </c>
      <c r="D1012" s="6">
        <v>77.5</v>
      </c>
      <c r="E1012" s="7">
        <f t="shared" si="15"/>
        <v>150.1</v>
      </c>
      <c r="F1012" s="8"/>
    </row>
    <row r="1013" spans="1:6" ht="18" customHeight="1">
      <c r="A1013" s="4" t="s">
        <v>31</v>
      </c>
      <c r="B1013" s="4" t="str">
        <f>"2020043201"</f>
        <v>2020043201</v>
      </c>
      <c r="C1013" s="5">
        <v>71.5</v>
      </c>
      <c r="D1013" s="6">
        <v>77</v>
      </c>
      <c r="E1013" s="7">
        <f t="shared" si="15"/>
        <v>148.5</v>
      </c>
      <c r="F1013" s="8"/>
    </row>
    <row r="1014" spans="1:6" ht="18" customHeight="1">
      <c r="A1014" s="4" t="s">
        <v>31</v>
      </c>
      <c r="B1014" s="4" t="str">
        <f>"2020022502"</f>
        <v>2020022502</v>
      </c>
      <c r="C1014" s="5">
        <v>71.099999999999994</v>
      </c>
      <c r="D1014" s="6">
        <v>77</v>
      </c>
      <c r="E1014" s="7">
        <f t="shared" si="15"/>
        <v>148.1</v>
      </c>
      <c r="F1014" s="8"/>
    </row>
    <row r="1015" spans="1:6" ht="18" customHeight="1">
      <c r="A1015" s="4" t="s">
        <v>31</v>
      </c>
      <c r="B1015" s="4" t="str">
        <f>"2020040229"</f>
        <v>2020040229</v>
      </c>
      <c r="C1015" s="5">
        <v>73.5</v>
      </c>
      <c r="D1015" s="6">
        <v>74.5</v>
      </c>
      <c r="E1015" s="7">
        <f t="shared" si="15"/>
        <v>148</v>
      </c>
      <c r="F1015" s="8"/>
    </row>
    <row r="1016" spans="1:6" ht="18" customHeight="1">
      <c r="A1016" s="4" t="s">
        <v>31</v>
      </c>
      <c r="B1016" s="4" t="str">
        <f>"2020047016"</f>
        <v>2020047016</v>
      </c>
      <c r="C1016" s="5">
        <v>65.5</v>
      </c>
      <c r="D1016" s="6">
        <v>82</v>
      </c>
      <c r="E1016" s="7">
        <f t="shared" si="15"/>
        <v>147.5</v>
      </c>
      <c r="F1016" s="8"/>
    </row>
    <row r="1017" spans="1:6" ht="18" customHeight="1">
      <c r="A1017" s="4" t="s">
        <v>31</v>
      </c>
      <c r="B1017" s="4" t="str">
        <f>"2020042516"</f>
        <v>2020042516</v>
      </c>
      <c r="C1017" s="5">
        <v>69.099999999999994</v>
      </c>
      <c r="D1017" s="6">
        <v>75.5</v>
      </c>
      <c r="E1017" s="7">
        <f t="shared" si="15"/>
        <v>144.6</v>
      </c>
      <c r="F1017" s="8"/>
    </row>
    <row r="1018" spans="1:6" ht="18" customHeight="1">
      <c r="A1018" s="4" t="s">
        <v>31</v>
      </c>
      <c r="B1018" s="4" t="str">
        <f>"2020012207"</f>
        <v>2020012207</v>
      </c>
      <c r="C1018" s="5">
        <v>72.5</v>
      </c>
      <c r="D1018" s="6">
        <v>70.5</v>
      </c>
      <c r="E1018" s="7">
        <f t="shared" si="15"/>
        <v>143</v>
      </c>
      <c r="F1018" s="8"/>
    </row>
    <row r="1019" spans="1:6" ht="18" customHeight="1">
      <c r="A1019" s="4" t="s">
        <v>31</v>
      </c>
      <c r="B1019" s="4" t="str">
        <f>"2020021207"</f>
        <v>2020021207</v>
      </c>
      <c r="C1019" s="5">
        <v>66.5</v>
      </c>
      <c r="D1019" s="6">
        <v>76.5</v>
      </c>
      <c r="E1019" s="7">
        <f t="shared" si="15"/>
        <v>143</v>
      </c>
      <c r="F1019" s="8"/>
    </row>
    <row r="1020" spans="1:6" ht="18" customHeight="1">
      <c r="A1020" s="4" t="s">
        <v>31</v>
      </c>
      <c r="B1020" s="4" t="str">
        <f>"2020011520"</f>
        <v>2020011520</v>
      </c>
      <c r="C1020" s="5">
        <v>71.8</v>
      </c>
      <c r="D1020" s="6">
        <v>71</v>
      </c>
      <c r="E1020" s="7">
        <f t="shared" si="15"/>
        <v>142.80000000000001</v>
      </c>
      <c r="F1020" s="8"/>
    </row>
    <row r="1021" spans="1:6" ht="18" customHeight="1">
      <c r="A1021" s="4" t="s">
        <v>31</v>
      </c>
      <c r="B1021" s="4" t="str">
        <f>"2020031417"</f>
        <v>2020031417</v>
      </c>
      <c r="C1021" s="5">
        <v>76.099999999999994</v>
      </c>
      <c r="D1021" s="6">
        <v>66</v>
      </c>
      <c r="E1021" s="7">
        <f t="shared" si="15"/>
        <v>142.1</v>
      </c>
      <c r="F1021" s="8"/>
    </row>
    <row r="1022" spans="1:6" ht="18" customHeight="1">
      <c r="A1022" s="4" t="s">
        <v>31</v>
      </c>
      <c r="B1022" s="4" t="str">
        <f>"2020042615"</f>
        <v>2020042615</v>
      </c>
      <c r="C1022" s="5">
        <v>73.5</v>
      </c>
      <c r="D1022" s="6">
        <v>68</v>
      </c>
      <c r="E1022" s="7">
        <f t="shared" si="15"/>
        <v>141.5</v>
      </c>
      <c r="F1022" s="8"/>
    </row>
    <row r="1023" spans="1:6" ht="18" customHeight="1">
      <c r="A1023" s="4" t="s">
        <v>31</v>
      </c>
      <c r="B1023" s="4" t="str">
        <f>"2020040816"</f>
        <v>2020040816</v>
      </c>
      <c r="C1023" s="5">
        <v>69.2</v>
      </c>
      <c r="D1023" s="6">
        <v>71</v>
      </c>
      <c r="E1023" s="7">
        <f t="shared" si="15"/>
        <v>140.19999999999999</v>
      </c>
      <c r="F1023" s="8"/>
    </row>
    <row r="1024" spans="1:6" ht="18" customHeight="1">
      <c r="A1024" s="4" t="s">
        <v>31</v>
      </c>
      <c r="B1024" s="4" t="str">
        <f>"2020032024"</f>
        <v>2020032024</v>
      </c>
      <c r="C1024" s="5">
        <v>73.3</v>
      </c>
      <c r="D1024" s="6">
        <v>66.5</v>
      </c>
      <c r="E1024" s="7">
        <f t="shared" si="15"/>
        <v>139.80000000000001</v>
      </c>
      <c r="F1024" s="8"/>
    </row>
    <row r="1025" spans="1:6" ht="18" customHeight="1">
      <c r="A1025" s="4" t="s">
        <v>31</v>
      </c>
      <c r="B1025" s="4" t="str">
        <f>"2020022810"</f>
        <v>2020022810</v>
      </c>
      <c r="C1025" s="5">
        <v>69.099999999999994</v>
      </c>
      <c r="D1025" s="6">
        <v>69.5</v>
      </c>
      <c r="E1025" s="7">
        <f t="shared" si="15"/>
        <v>138.6</v>
      </c>
      <c r="F1025" s="8"/>
    </row>
    <row r="1026" spans="1:6" ht="18" customHeight="1">
      <c r="A1026" s="4" t="s">
        <v>31</v>
      </c>
      <c r="B1026" s="4" t="str">
        <f>"2020031807"</f>
        <v>2020031807</v>
      </c>
      <c r="C1026" s="5">
        <v>66.2</v>
      </c>
      <c r="D1026" s="6">
        <v>72</v>
      </c>
      <c r="E1026" s="7">
        <f t="shared" si="15"/>
        <v>138.19999999999999</v>
      </c>
      <c r="F1026" s="8"/>
    </row>
    <row r="1027" spans="1:6" ht="18" customHeight="1">
      <c r="A1027" s="4" t="s">
        <v>31</v>
      </c>
      <c r="B1027" s="4" t="str">
        <f>"2020012201"</f>
        <v>2020012201</v>
      </c>
      <c r="C1027" s="5">
        <v>69.099999999999994</v>
      </c>
      <c r="D1027" s="6">
        <v>67</v>
      </c>
      <c r="E1027" s="7">
        <f t="shared" ref="E1027:E1090" si="16">SUM(C1027:D1027)</f>
        <v>136.1</v>
      </c>
      <c r="F1027" s="8"/>
    </row>
    <row r="1028" spans="1:6" ht="18" customHeight="1">
      <c r="A1028" s="4" t="s">
        <v>31</v>
      </c>
      <c r="B1028" s="4" t="str">
        <f>"2020043627"</f>
        <v>2020043627</v>
      </c>
      <c r="C1028" s="5">
        <v>66.900000000000006</v>
      </c>
      <c r="D1028" s="6">
        <v>69</v>
      </c>
      <c r="E1028" s="7">
        <f t="shared" si="16"/>
        <v>135.9</v>
      </c>
      <c r="F1028" s="8"/>
    </row>
    <row r="1029" spans="1:6" ht="18" customHeight="1">
      <c r="A1029" s="4" t="s">
        <v>31</v>
      </c>
      <c r="B1029" s="4" t="str">
        <f>"2020041017"</f>
        <v>2020041017</v>
      </c>
      <c r="C1029" s="5">
        <v>62.7</v>
      </c>
      <c r="D1029" s="6">
        <v>68.5</v>
      </c>
      <c r="E1029" s="7">
        <f t="shared" si="16"/>
        <v>131.19999999999999</v>
      </c>
      <c r="F1029" s="8"/>
    </row>
    <row r="1030" spans="1:6" ht="18" customHeight="1">
      <c r="A1030" s="4" t="s">
        <v>31</v>
      </c>
      <c r="B1030" s="4" t="str">
        <f>"2020020730"</f>
        <v>2020020730</v>
      </c>
      <c r="C1030" s="5">
        <v>58.4</v>
      </c>
      <c r="D1030" s="6">
        <v>71.5</v>
      </c>
      <c r="E1030" s="7">
        <f t="shared" si="16"/>
        <v>129.9</v>
      </c>
      <c r="F1030" s="8"/>
    </row>
    <row r="1031" spans="1:6" ht="18" customHeight="1">
      <c r="A1031" s="4" t="s">
        <v>31</v>
      </c>
      <c r="B1031" s="4" t="str">
        <f>"2020032227"</f>
        <v>2020032227</v>
      </c>
      <c r="C1031" s="5">
        <v>60.1</v>
      </c>
      <c r="D1031" s="6">
        <v>69</v>
      </c>
      <c r="E1031" s="7">
        <f t="shared" si="16"/>
        <v>129.1</v>
      </c>
      <c r="F1031" s="8"/>
    </row>
    <row r="1032" spans="1:6" ht="18" customHeight="1">
      <c r="A1032" s="4" t="s">
        <v>31</v>
      </c>
      <c r="B1032" s="4" t="str">
        <f>"2020011215"</f>
        <v>2020011215</v>
      </c>
      <c r="C1032" s="5">
        <v>69.3</v>
      </c>
      <c r="D1032" s="6">
        <v>59.5</v>
      </c>
      <c r="E1032" s="7">
        <f t="shared" si="16"/>
        <v>128.80000000000001</v>
      </c>
      <c r="F1032" s="8"/>
    </row>
    <row r="1033" spans="1:6" ht="18" customHeight="1">
      <c r="A1033" s="4" t="s">
        <v>31</v>
      </c>
      <c r="B1033" s="4" t="str">
        <f>"2020045922"</f>
        <v>2020045922</v>
      </c>
      <c r="C1033" s="5">
        <v>63</v>
      </c>
      <c r="D1033" s="6">
        <v>65.5</v>
      </c>
      <c r="E1033" s="7">
        <f t="shared" si="16"/>
        <v>128.5</v>
      </c>
      <c r="F1033" s="8"/>
    </row>
    <row r="1034" spans="1:6" ht="18" customHeight="1">
      <c r="A1034" s="4" t="s">
        <v>31</v>
      </c>
      <c r="B1034" s="4" t="str">
        <f>"2020031225"</f>
        <v>2020031225</v>
      </c>
      <c r="C1034" s="5">
        <v>64.7</v>
      </c>
      <c r="D1034" s="6">
        <v>63</v>
      </c>
      <c r="E1034" s="7">
        <f t="shared" si="16"/>
        <v>127.7</v>
      </c>
      <c r="F1034" s="8"/>
    </row>
    <row r="1035" spans="1:6" ht="18" customHeight="1">
      <c r="A1035" s="4" t="s">
        <v>31</v>
      </c>
      <c r="B1035" s="4" t="str">
        <f>"2020041809"</f>
        <v>2020041809</v>
      </c>
      <c r="C1035" s="5">
        <v>62.1</v>
      </c>
      <c r="D1035" s="6">
        <v>65</v>
      </c>
      <c r="E1035" s="7">
        <f t="shared" si="16"/>
        <v>127.1</v>
      </c>
      <c r="F1035" s="8"/>
    </row>
    <row r="1036" spans="1:6" ht="18" customHeight="1">
      <c r="A1036" s="4" t="s">
        <v>31</v>
      </c>
      <c r="B1036" s="4" t="str">
        <f>"2020022306"</f>
        <v>2020022306</v>
      </c>
      <c r="C1036" s="5">
        <v>62.3</v>
      </c>
      <c r="D1036" s="6">
        <v>62.5</v>
      </c>
      <c r="E1036" s="7">
        <f t="shared" si="16"/>
        <v>124.8</v>
      </c>
      <c r="F1036" s="8"/>
    </row>
    <row r="1037" spans="1:6" ht="18" customHeight="1">
      <c r="A1037" s="4" t="s">
        <v>31</v>
      </c>
      <c r="B1037" s="4" t="str">
        <f>"2020046110"</f>
        <v>2020046110</v>
      </c>
      <c r="C1037" s="5">
        <v>68.5</v>
      </c>
      <c r="D1037" s="6">
        <v>56</v>
      </c>
      <c r="E1037" s="7">
        <f t="shared" si="16"/>
        <v>124.5</v>
      </c>
      <c r="F1037" s="8"/>
    </row>
    <row r="1038" spans="1:6" ht="18" customHeight="1">
      <c r="A1038" s="4" t="s">
        <v>31</v>
      </c>
      <c r="B1038" s="4" t="str">
        <f>"2020034021"</f>
        <v>2020034021</v>
      </c>
      <c r="C1038" s="5">
        <v>59.1</v>
      </c>
      <c r="D1038" s="6">
        <v>65</v>
      </c>
      <c r="E1038" s="7">
        <f t="shared" si="16"/>
        <v>124.1</v>
      </c>
      <c r="F1038" s="8"/>
    </row>
    <row r="1039" spans="1:6" ht="18" customHeight="1">
      <c r="A1039" s="4" t="s">
        <v>31</v>
      </c>
      <c r="B1039" s="4" t="str">
        <f>"2020044411"</f>
        <v>2020044411</v>
      </c>
      <c r="C1039" s="5">
        <v>59.9</v>
      </c>
      <c r="D1039" s="6">
        <v>63.5</v>
      </c>
      <c r="E1039" s="7">
        <f t="shared" si="16"/>
        <v>123.4</v>
      </c>
      <c r="F1039" s="8"/>
    </row>
    <row r="1040" spans="1:6" ht="18" customHeight="1">
      <c r="A1040" s="4" t="s">
        <v>31</v>
      </c>
      <c r="B1040" s="4" t="str">
        <f>"2020041219"</f>
        <v>2020041219</v>
      </c>
      <c r="C1040" s="5">
        <v>67.5</v>
      </c>
      <c r="D1040" s="6">
        <v>54</v>
      </c>
      <c r="E1040" s="7">
        <f t="shared" si="16"/>
        <v>121.5</v>
      </c>
      <c r="F1040" s="8"/>
    </row>
    <row r="1041" spans="1:6" ht="18" customHeight="1">
      <c r="A1041" s="4" t="s">
        <v>31</v>
      </c>
      <c r="B1041" s="4" t="str">
        <f>"2020044413"</f>
        <v>2020044413</v>
      </c>
      <c r="C1041" s="5">
        <v>58.7</v>
      </c>
      <c r="D1041" s="6">
        <v>61.5</v>
      </c>
      <c r="E1041" s="7">
        <f t="shared" si="16"/>
        <v>120.2</v>
      </c>
      <c r="F1041" s="8"/>
    </row>
    <row r="1042" spans="1:6" ht="18" customHeight="1">
      <c r="A1042" s="4" t="s">
        <v>31</v>
      </c>
      <c r="B1042" s="4" t="str">
        <f>"2020031822"</f>
        <v>2020031822</v>
      </c>
      <c r="C1042" s="5">
        <v>62.7</v>
      </c>
      <c r="D1042" s="6">
        <v>52.5</v>
      </c>
      <c r="E1042" s="7">
        <f t="shared" si="16"/>
        <v>115.2</v>
      </c>
      <c r="F1042" s="8"/>
    </row>
    <row r="1043" spans="1:6" ht="18" customHeight="1">
      <c r="A1043" s="4" t="s">
        <v>31</v>
      </c>
      <c r="B1043" s="4" t="str">
        <f>"2020010824"</f>
        <v>2020010824</v>
      </c>
      <c r="C1043" s="5">
        <v>0</v>
      </c>
      <c r="D1043" s="6">
        <v>0</v>
      </c>
      <c r="E1043" s="7">
        <f t="shared" si="16"/>
        <v>0</v>
      </c>
      <c r="F1043" s="9" t="s">
        <v>8</v>
      </c>
    </row>
    <row r="1044" spans="1:6" ht="18" customHeight="1">
      <c r="A1044" s="4" t="s">
        <v>31</v>
      </c>
      <c r="B1044" s="4" t="str">
        <f>"2020011429"</f>
        <v>2020011429</v>
      </c>
      <c r="C1044" s="5">
        <v>0</v>
      </c>
      <c r="D1044" s="6">
        <v>0</v>
      </c>
      <c r="E1044" s="7">
        <f t="shared" si="16"/>
        <v>0</v>
      </c>
      <c r="F1044" s="9" t="s">
        <v>8</v>
      </c>
    </row>
    <row r="1045" spans="1:6" ht="18" customHeight="1">
      <c r="A1045" s="4" t="s">
        <v>31</v>
      </c>
      <c r="B1045" s="4" t="str">
        <f>"2020011530"</f>
        <v>2020011530</v>
      </c>
      <c r="C1045" s="5">
        <v>0</v>
      </c>
      <c r="D1045" s="6">
        <v>0</v>
      </c>
      <c r="E1045" s="7">
        <f t="shared" si="16"/>
        <v>0</v>
      </c>
      <c r="F1045" s="9" t="s">
        <v>8</v>
      </c>
    </row>
    <row r="1046" spans="1:6" ht="18" customHeight="1">
      <c r="A1046" s="4" t="s">
        <v>31</v>
      </c>
      <c r="B1046" s="4" t="str">
        <f>"2020012111"</f>
        <v>2020012111</v>
      </c>
      <c r="C1046" s="5">
        <v>0</v>
      </c>
      <c r="D1046" s="6">
        <v>0</v>
      </c>
      <c r="E1046" s="7">
        <f t="shared" si="16"/>
        <v>0</v>
      </c>
      <c r="F1046" s="9" t="s">
        <v>8</v>
      </c>
    </row>
    <row r="1047" spans="1:6" ht="18" customHeight="1">
      <c r="A1047" s="4" t="s">
        <v>31</v>
      </c>
      <c r="B1047" s="4" t="str">
        <f>"2020013009"</f>
        <v>2020013009</v>
      </c>
      <c r="C1047" s="5">
        <v>0</v>
      </c>
      <c r="D1047" s="6">
        <v>0</v>
      </c>
      <c r="E1047" s="7">
        <f t="shared" si="16"/>
        <v>0</v>
      </c>
      <c r="F1047" s="9" t="s">
        <v>8</v>
      </c>
    </row>
    <row r="1048" spans="1:6" ht="18" customHeight="1">
      <c r="A1048" s="4" t="s">
        <v>31</v>
      </c>
      <c r="B1048" s="4" t="str">
        <f>"2020013901"</f>
        <v>2020013901</v>
      </c>
      <c r="C1048" s="5">
        <v>0</v>
      </c>
      <c r="D1048" s="6">
        <v>0</v>
      </c>
      <c r="E1048" s="7">
        <f t="shared" si="16"/>
        <v>0</v>
      </c>
      <c r="F1048" s="9" t="s">
        <v>8</v>
      </c>
    </row>
    <row r="1049" spans="1:6" ht="18" customHeight="1">
      <c r="A1049" s="4" t="s">
        <v>31</v>
      </c>
      <c r="B1049" s="4" t="str">
        <f>"2020013904"</f>
        <v>2020013904</v>
      </c>
      <c r="C1049" s="5">
        <v>0</v>
      </c>
      <c r="D1049" s="6">
        <v>0</v>
      </c>
      <c r="E1049" s="7">
        <f t="shared" si="16"/>
        <v>0</v>
      </c>
      <c r="F1049" s="9" t="s">
        <v>8</v>
      </c>
    </row>
    <row r="1050" spans="1:6" ht="18" customHeight="1">
      <c r="A1050" s="4" t="s">
        <v>31</v>
      </c>
      <c r="B1050" s="4" t="str">
        <f>"2020021015"</f>
        <v>2020021015</v>
      </c>
      <c r="C1050" s="5">
        <v>0</v>
      </c>
      <c r="D1050" s="6">
        <v>0</v>
      </c>
      <c r="E1050" s="7">
        <f t="shared" si="16"/>
        <v>0</v>
      </c>
      <c r="F1050" s="8" t="s">
        <v>8</v>
      </c>
    </row>
    <row r="1051" spans="1:6" ht="18" customHeight="1">
      <c r="A1051" s="4" t="s">
        <v>31</v>
      </c>
      <c r="B1051" s="4" t="str">
        <f>"2020022313"</f>
        <v>2020022313</v>
      </c>
      <c r="C1051" s="5">
        <v>0</v>
      </c>
      <c r="D1051" s="6">
        <v>0</v>
      </c>
      <c r="E1051" s="7">
        <f t="shared" si="16"/>
        <v>0</v>
      </c>
      <c r="F1051" s="8" t="s">
        <v>8</v>
      </c>
    </row>
    <row r="1052" spans="1:6" ht="18" customHeight="1">
      <c r="A1052" s="4" t="s">
        <v>31</v>
      </c>
      <c r="B1052" s="4" t="str">
        <f>"2020022317"</f>
        <v>2020022317</v>
      </c>
      <c r="C1052" s="5">
        <v>0</v>
      </c>
      <c r="D1052" s="6">
        <v>0</v>
      </c>
      <c r="E1052" s="7">
        <f t="shared" si="16"/>
        <v>0</v>
      </c>
      <c r="F1052" s="8" t="s">
        <v>8</v>
      </c>
    </row>
    <row r="1053" spans="1:6" ht="18" customHeight="1">
      <c r="A1053" s="4" t="s">
        <v>31</v>
      </c>
      <c r="B1053" s="4" t="str">
        <f>"2020023903"</f>
        <v>2020023903</v>
      </c>
      <c r="C1053" s="5">
        <v>0</v>
      </c>
      <c r="D1053" s="6">
        <v>0</v>
      </c>
      <c r="E1053" s="7">
        <f t="shared" si="16"/>
        <v>0</v>
      </c>
      <c r="F1053" s="8" t="s">
        <v>8</v>
      </c>
    </row>
    <row r="1054" spans="1:6" ht="18" customHeight="1">
      <c r="A1054" s="4" t="s">
        <v>31</v>
      </c>
      <c r="B1054" s="4" t="str">
        <f>"2020024616"</f>
        <v>2020024616</v>
      </c>
      <c r="C1054" s="5">
        <v>0</v>
      </c>
      <c r="D1054" s="6">
        <v>0</v>
      </c>
      <c r="E1054" s="7">
        <f t="shared" si="16"/>
        <v>0</v>
      </c>
      <c r="F1054" s="8" t="s">
        <v>8</v>
      </c>
    </row>
    <row r="1055" spans="1:6" ht="18" customHeight="1">
      <c r="A1055" s="4" t="s">
        <v>31</v>
      </c>
      <c r="B1055" s="4" t="str">
        <f>"2020032817"</f>
        <v>2020032817</v>
      </c>
      <c r="C1055" s="5">
        <v>0</v>
      </c>
      <c r="D1055" s="6">
        <v>0</v>
      </c>
      <c r="E1055" s="7">
        <f t="shared" si="16"/>
        <v>0</v>
      </c>
      <c r="F1055" s="8" t="s">
        <v>8</v>
      </c>
    </row>
    <row r="1056" spans="1:6" ht="18" customHeight="1">
      <c r="A1056" s="4" t="s">
        <v>31</v>
      </c>
      <c r="B1056" s="4" t="str">
        <f>"2020033411"</f>
        <v>2020033411</v>
      </c>
      <c r="C1056" s="5">
        <v>0</v>
      </c>
      <c r="D1056" s="6">
        <v>0</v>
      </c>
      <c r="E1056" s="7">
        <f t="shared" si="16"/>
        <v>0</v>
      </c>
      <c r="F1056" s="8" t="s">
        <v>8</v>
      </c>
    </row>
    <row r="1057" spans="1:6" ht="18" customHeight="1">
      <c r="A1057" s="4" t="s">
        <v>31</v>
      </c>
      <c r="B1057" s="4" t="str">
        <f>"2020045130"</f>
        <v>2020045130</v>
      </c>
      <c r="C1057" s="5">
        <v>0</v>
      </c>
      <c r="D1057" s="6">
        <v>0</v>
      </c>
      <c r="E1057" s="7">
        <f t="shared" si="16"/>
        <v>0</v>
      </c>
      <c r="F1057" s="8" t="s">
        <v>8</v>
      </c>
    </row>
    <row r="1058" spans="1:6" ht="18" customHeight="1">
      <c r="A1058" s="4" t="s">
        <v>32</v>
      </c>
      <c r="B1058" s="4" t="str">
        <f>"2020033703"</f>
        <v>2020033703</v>
      </c>
      <c r="C1058" s="5">
        <v>61.8</v>
      </c>
      <c r="D1058" s="6">
        <v>71.5</v>
      </c>
      <c r="E1058" s="7">
        <f t="shared" si="16"/>
        <v>133.30000000000001</v>
      </c>
      <c r="F1058" s="8"/>
    </row>
    <row r="1059" spans="1:6" ht="18" customHeight="1">
      <c r="A1059" s="4" t="s">
        <v>32</v>
      </c>
      <c r="B1059" s="4" t="str">
        <f>"2020042722"</f>
        <v>2020042722</v>
      </c>
      <c r="C1059" s="5">
        <v>71.2</v>
      </c>
      <c r="D1059" s="6">
        <v>59</v>
      </c>
      <c r="E1059" s="7">
        <f t="shared" si="16"/>
        <v>130.19999999999999</v>
      </c>
      <c r="F1059" s="8"/>
    </row>
    <row r="1060" spans="1:6" ht="18" customHeight="1">
      <c r="A1060" s="4" t="s">
        <v>32</v>
      </c>
      <c r="B1060" s="4" t="str">
        <f>"2020042512"</f>
        <v>2020042512</v>
      </c>
      <c r="C1060" s="5">
        <v>68</v>
      </c>
      <c r="D1060" s="6">
        <v>60.5</v>
      </c>
      <c r="E1060" s="7">
        <f t="shared" si="16"/>
        <v>128.5</v>
      </c>
      <c r="F1060" s="8"/>
    </row>
    <row r="1061" spans="1:6" ht="18" customHeight="1">
      <c r="A1061" s="4" t="s">
        <v>32</v>
      </c>
      <c r="B1061" s="4" t="str">
        <f>"2020024419"</f>
        <v>2020024419</v>
      </c>
      <c r="C1061" s="5">
        <v>68.3</v>
      </c>
      <c r="D1061" s="6">
        <v>58.5</v>
      </c>
      <c r="E1061" s="7">
        <f t="shared" si="16"/>
        <v>126.8</v>
      </c>
      <c r="F1061" s="8"/>
    </row>
    <row r="1062" spans="1:6" ht="18" customHeight="1">
      <c r="A1062" s="4" t="s">
        <v>32</v>
      </c>
      <c r="B1062" s="4" t="str">
        <f>"2020022107"</f>
        <v>2020022107</v>
      </c>
      <c r="C1062" s="5">
        <v>65.099999999999994</v>
      </c>
      <c r="D1062" s="6">
        <v>60.5</v>
      </c>
      <c r="E1062" s="7">
        <f t="shared" si="16"/>
        <v>125.6</v>
      </c>
      <c r="F1062" s="8"/>
    </row>
    <row r="1063" spans="1:6" ht="18" customHeight="1">
      <c r="A1063" s="4" t="s">
        <v>32</v>
      </c>
      <c r="B1063" s="4" t="str">
        <f>"2020021318"</f>
        <v>2020021318</v>
      </c>
      <c r="C1063" s="5">
        <v>69.7</v>
      </c>
      <c r="D1063" s="6">
        <v>54</v>
      </c>
      <c r="E1063" s="7">
        <f t="shared" si="16"/>
        <v>123.7</v>
      </c>
      <c r="F1063" s="8"/>
    </row>
    <row r="1064" spans="1:6" ht="18" customHeight="1">
      <c r="A1064" s="4" t="s">
        <v>32</v>
      </c>
      <c r="B1064" s="4" t="str">
        <f>"2020012723"</f>
        <v>2020012723</v>
      </c>
      <c r="C1064" s="5">
        <v>72.5</v>
      </c>
      <c r="D1064" s="6">
        <v>50</v>
      </c>
      <c r="E1064" s="7">
        <f t="shared" si="16"/>
        <v>122.5</v>
      </c>
      <c r="F1064" s="8"/>
    </row>
    <row r="1065" spans="1:6" ht="18" customHeight="1">
      <c r="A1065" s="4" t="s">
        <v>32</v>
      </c>
      <c r="B1065" s="4" t="str">
        <f>"2020020211"</f>
        <v>2020020211</v>
      </c>
      <c r="C1065" s="5">
        <v>64.7</v>
      </c>
      <c r="D1065" s="6">
        <v>57.5</v>
      </c>
      <c r="E1065" s="7">
        <f t="shared" si="16"/>
        <v>122.2</v>
      </c>
      <c r="F1065" s="8"/>
    </row>
    <row r="1066" spans="1:6" ht="18" customHeight="1">
      <c r="A1066" s="4" t="s">
        <v>32</v>
      </c>
      <c r="B1066" s="4" t="str">
        <f>"2020040206"</f>
        <v>2020040206</v>
      </c>
      <c r="C1066" s="5">
        <v>63</v>
      </c>
      <c r="D1066" s="6">
        <v>57.5</v>
      </c>
      <c r="E1066" s="7">
        <f t="shared" si="16"/>
        <v>120.5</v>
      </c>
      <c r="F1066" s="8"/>
    </row>
    <row r="1067" spans="1:6" ht="18" customHeight="1">
      <c r="A1067" s="4" t="s">
        <v>32</v>
      </c>
      <c r="B1067" s="4" t="str">
        <f>"2020013629"</f>
        <v>2020013629</v>
      </c>
      <c r="C1067" s="5">
        <v>65.7</v>
      </c>
      <c r="D1067" s="6">
        <v>54.5</v>
      </c>
      <c r="E1067" s="7">
        <f t="shared" si="16"/>
        <v>120.2</v>
      </c>
      <c r="F1067" s="8"/>
    </row>
    <row r="1068" spans="1:6" ht="18" customHeight="1">
      <c r="A1068" s="4" t="s">
        <v>32</v>
      </c>
      <c r="B1068" s="4" t="str">
        <f>"2020021402"</f>
        <v>2020021402</v>
      </c>
      <c r="C1068" s="5">
        <v>61.7</v>
      </c>
      <c r="D1068" s="6">
        <v>56.5</v>
      </c>
      <c r="E1068" s="7">
        <f t="shared" si="16"/>
        <v>118.2</v>
      </c>
      <c r="F1068" s="8"/>
    </row>
    <row r="1069" spans="1:6" ht="18" customHeight="1">
      <c r="A1069" s="4" t="s">
        <v>32</v>
      </c>
      <c r="B1069" s="4" t="str">
        <f>"2020047127"</f>
        <v>2020047127</v>
      </c>
      <c r="C1069" s="5">
        <v>60.5</v>
      </c>
      <c r="D1069" s="6">
        <v>56</v>
      </c>
      <c r="E1069" s="7">
        <f t="shared" si="16"/>
        <v>116.5</v>
      </c>
      <c r="F1069" s="8"/>
    </row>
    <row r="1070" spans="1:6" ht="18" customHeight="1">
      <c r="A1070" s="4" t="s">
        <v>32</v>
      </c>
      <c r="B1070" s="4" t="str">
        <f>"2020023007"</f>
        <v>2020023007</v>
      </c>
      <c r="C1070" s="5">
        <v>62.5</v>
      </c>
      <c r="D1070" s="6">
        <v>53</v>
      </c>
      <c r="E1070" s="7">
        <f t="shared" si="16"/>
        <v>115.5</v>
      </c>
      <c r="F1070" s="8"/>
    </row>
    <row r="1071" spans="1:6" ht="18" customHeight="1">
      <c r="A1071" s="4" t="s">
        <v>32</v>
      </c>
      <c r="B1071" s="4" t="str">
        <f>"2020043508"</f>
        <v>2020043508</v>
      </c>
      <c r="C1071" s="5">
        <v>54</v>
      </c>
      <c r="D1071" s="6">
        <v>59</v>
      </c>
      <c r="E1071" s="7">
        <f t="shared" si="16"/>
        <v>113</v>
      </c>
      <c r="F1071" s="8"/>
    </row>
    <row r="1072" spans="1:6" ht="18" customHeight="1">
      <c r="A1072" s="4" t="s">
        <v>32</v>
      </c>
      <c r="B1072" s="4" t="str">
        <f>"2020045328"</f>
        <v>2020045328</v>
      </c>
      <c r="C1072" s="5">
        <v>58.1</v>
      </c>
      <c r="D1072" s="6">
        <v>54.5</v>
      </c>
      <c r="E1072" s="7">
        <f t="shared" si="16"/>
        <v>112.6</v>
      </c>
      <c r="F1072" s="8"/>
    </row>
    <row r="1073" spans="1:6" ht="18" customHeight="1">
      <c r="A1073" s="4" t="s">
        <v>32</v>
      </c>
      <c r="B1073" s="4" t="str">
        <f>"2020024309"</f>
        <v>2020024309</v>
      </c>
      <c r="C1073" s="5">
        <v>56.5</v>
      </c>
      <c r="D1073" s="6">
        <v>54</v>
      </c>
      <c r="E1073" s="7">
        <f t="shared" si="16"/>
        <v>110.5</v>
      </c>
      <c r="F1073" s="8"/>
    </row>
    <row r="1074" spans="1:6" ht="18" customHeight="1">
      <c r="A1074" s="4" t="s">
        <v>32</v>
      </c>
      <c r="B1074" s="4" t="str">
        <f>"2020010614"</f>
        <v>2020010614</v>
      </c>
      <c r="C1074" s="5">
        <v>0</v>
      </c>
      <c r="D1074" s="6">
        <v>0</v>
      </c>
      <c r="E1074" s="7">
        <f t="shared" si="16"/>
        <v>0</v>
      </c>
      <c r="F1074" s="9" t="s">
        <v>8</v>
      </c>
    </row>
    <row r="1075" spans="1:6" ht="18" customHeight="1">
      <c r="A1075" s="4" t="s">
        <v>32</v>
      </c>
      <c r="B1075" s="4" t="str">
        <f>"2020043918"</f>
        <v>2020043918</v>
      </c>
      <c r="C1075" s="5">
        <v>0</v>
      </c>
      <c r="D1075" s="6">
        <v>0</v>
      </c>
      <c r="E1075" s="7">
        <f t="shared" si="16"/>
        <v>0</v>
      </c>
      <c r="F1075" s="8" t="s">
        <v>8</v>
      </c>
    </row>
    <row r="1076" spans="1:6" ht="18" customHeight="1">
      <c r="A1076" s="4" t="s">
        <v>33</v>
      </c>
      <c r="B1076" s="4" t="str">
        <f>"2020013712"</f>
        <v>2020013712</v>
      </c>
      <c r="C1076" s="5">
        <v>73.3</v>
      </c>
      <c r="D1076" s="6">
        <v>74.5</v>
      </c>
      <c r="E1076" s="7">
        <f t="shared" si="16"/>
        <v>147.80000000000001</v>
      </c>
      <c r="F1076" s="8"/>
    </row>
    <row r="1077" spans="1:6" ht="18" customHeight="1">
      <c r="A1077" s="4" t="s">
        <v>33</v>
      </c>
      <c r="B1077" s="4" t="str">
        <f>"2020011020"</f>
        <v>2020011020</v>
      </c>
      <c r="C1077" s="5">
        <v>70.400000000000006</v>
      </c>
      <c r="D1077" s="6">
        <v>77</v>
      </c>
      <c r="E1077" s="7">
        <f t="shared" si="16"/>
        <v>147.4</v>
      </c>
      <c r="F1077" s="8"/>
    </row>
    <row r="1078" spans="1:6" ht="18" customHeight="1">
      <c r="A1078" s="4" t="s">
        <v>33</v>
      </c>
      <c r="B1078" s="4" t="str">
        <f>"2020021929"</f>
        <v>2020021929</v>
      </c>
      <c r="C1078" s="5">
        <v>66.7</v>
      </c>
      <c r="D1078" s="6">
        <v>79</v>
      </c>
      <c r="E1078" s="7">
        <f t="shared" si="16"/>
        <v>145.69999999999999</v>
      </c>
      <c r="F1078" s="8"/>
    </row>
    <row r="1079" spans="1:6" ht="18" customHeight="1">
      <c r="A1079" s="4" t="s">
        <v>33</v>
      </c>
      <c r="B1079" s="4" t="str">
        <f>"2020010619"</f>
        <v>2020010619</v>
      </c>
      <c r="C1079" s="5">
        <v>65.5</v>
      </c>
      <c r="D1079" s="6">
        <v>77.5</v>
      </c>
      <c r="E1079" s="7">
        <f t="shared" si="16"/>
        <v>143</v>
      </c>
      <c r="F1079" s="8"/>
    </row>
    <row r="1080" spans="1:6" ht="18" customHeight="1">
      <c r="A1080" s="4" t="s">
        <v>33</v>
      </c>
      <c r="B1080" s="4" t="str">
        <f>"2020023810"</f>
        <v>2020023810</v>
      </c>
      <c r="C1080" s="5">
        <v>68.599999999999994</v>
      </c>
      <c r="D1080" s="6">
        <v>72.5</v>
      </c>
      <c r="E1080" s="7">
        <f t="shared" si="16"/>
        <v>141.1</v>
      </c>
      <c r="F1080" s="8"/>
    </row>
    <row r="1081" spans="1:6" ht="18" customHeight="1">
      <c r="A1081" s="4" t="s">
        <v>33</v>
      </c>
      <c r="B1081" s="4" t="str">
        <f>"2020011125"</f>
        <v>2020011125</v>
      </c>
      <c r="C1081" s="5">
        <v>59.5</v>
      </c>
      <c r="D1081" s="6">
        <v>75</v>
      </c>
      <c r="E1081" s="7">
        <f t="shared" si="16"/>
        <v>134.5</v>
      </c>
      <c r="F1081" s="8"/>
    </row>
    <row r="1082" spans="1:6" ht="18" customHeight="1">
      <c r="A1082" s="4" t="s">
        <v>33</v>
      </c>
      <c r="B1082" s="4" t="str">
        <f>"2020011521"</f>
        <v>2020011521</v>
      </c>
      <c r="C1082" s="5">
        <v>74.7</v>
      </c>
      <c r="D1082" s="6">
        <v>59.5</v>
      </c>
      <c r="E1082" s="7">
        <f t="shared" si="16"/>
        <v>134.19999999999999</v>
      </c>
      <c r="F1082" s="8"/>
    </row>
    <row r="1083" spans="1:6" ht="18" customHeight="1">
      <c r="A1083" s="4" t="s">
        <v>33</v>
      </c>
      <c r="B1083" s="4" t="str">
        <f>"2020024124"</f>
        <v>2020024124</v>
      </c>
      <c r="C1083" s="5">
        <v>69.5</v>
      </c>
      <c r="D1083" s="6">
        <v>58.5</v>
      </c>
      <c r="E1083" s="7">
        <f t="shared" si="16"/>
        <v>128</v>
      </c>
      <c r="F1083" s="8"/>
    </row>
    <row r="1084" spans="1:6" ht="18" customHeight="1">
      <c r="A1084" s="4" t="s">
        <v>33</v>
      </c>
      <c r="B1084" s="4" t="str">
        <f>"2020023206"</f>
        <v>2020023206</v>
      </c>
      <c r="C1084" s="5">
        <v>68.8</v>
      </c>
      <c r="D1084" s="6">
        <v>55.5</v>
      </c>
      <c r="E1084" s="7">
        <f t="shared" si="16"/>
        <v>124.3</v>
      </c>
      <c r="F1084" s="8"/>
    </row>
    <row r="1085" spans="1:6" ht="18" customHeight="1">
      <c r="A1085" s="4" t="s">
        <v>33</v>
      </c>
      <c r="B1085" s="4" t="str">
        <f>"2020046607"</f>
        <v>2020046607</v>
      </c>
      <c r="C1085" s="5">
        <v>62.3</v>
      </c>
      <c r="D1085" s="6">
        <v>57.5</v>
      </c>
      <c r="E1085" s="7">
        <f t="shared" si="16"/>
        <v>119.8</v>
      </c>
      <c r="F1085" s="8"/>
    </row>
    <row r="1086" spans="1:6" ht="18" customHeight="1">
      <c r="A1086" s="4" t="s">
        <v>33</v>
      </c>
      <c r="B1086" s="4" t="str">
        <f>"2020021213"</f>
        <v>2020021213</v>
      </c>
      <c r="C1086" s="5">
        <v>60.4</v>
      </c>
      <c r="D1086" s="6">
        <v>47</v>
      </c>
      <c r="E1086" s="7">
        <f t="shared" si="16"/>
        <v>107.4</v>
      </c>
      <c r="F1086" s="8"/>
    </row>
    <row r="1087" spans="1:6" ht="18" customHeight="1">
      <c r="A1087" s="4" t="s">
        <v>33</v>
      </c>
      <c r="B1087" s="4" t="str">
        <f>"2020032824"</f>
        <v>2020032824</v>
      </c>
      <c r="C1087" s="5">
        <v>56</v>
      </c>
      <c r="D1087" s="6">
        <v>43.5</v>
      </c>
      <c r="E1087" s="7">
        <f t="shared" si="16"/>
        <v>99.5</v>
      </c>
      <c r="F1087" s="8"/>
    </row>
    <row r="1088" spans="1:6" ht="18" customHeight="1">
      <c r="A1088" s="4" t="s">
        <v>33</v>
      </c>
      <c r="B1088" s="4" t="str">
        <f>"2020011401"</f>
        <v>2020011401</v>
      </c>
      <c r="C1088" s="5">
        <v>0</v>
      </c>
      <c r="D1088" s="6">
        <v>0</v>
      </c>
      <c r="E1088" s="7">
        <f t="shared" si="16"/>
        <v>0</v>
      </c>
      <c r="F1088" s="9" t="s">
        <v>8</v>
      </c>
    </row>
    <row r="1089" spans="1:6" ht="18" customHeight="1">
      <c r="A1089" s="4" t="s">
        <v>33</v>
      </c>
      <c r="B1089" s="4" t="str">
        <f>"2020020123"</f>
        <v>2020020123</v>
      </c>
      <c r="C1089" s="5">
        <v>0</v>
      </c>
      <c r="D1089" s="6">
        <v>0</v>
      </c>
      <c r="E1089" s="7">
        <f t="shared" si="16"/>
        <v>0</v>
      </c>
      <c r="F1089" s="8" t="s">
        <v>8</v>
      </c>
    </row>
    <row r="1090" spans="1:6" ht="18" customHeight="1">
      <c r="A1090" s="4" t="s">
        <v>33</v>
      </c>
      <c r="B1090" s="4" t="str">
        <f>"2020020316"</f>
        <v>2020020316</v>
      </c>
      <c r="C1090" s="5">
        <v>0</v>
      </c>
      <c r="D1090" s="6">
        <v>0</v>
      </c>
      <c r="E1090" s="7">
        <f t="shared" si="16"/>
        <v>0</v>
      </c>
      <c r="F1090" s="8" t="s">
        <v>8</v>
      </c>
    </row>
    <row r="1091" spans="1:6" ht="18" customHeight="1">
      <c r="A1091" s="4" t="s">
        <v>33</v>
      </c>
      <c r="B1091" s="4" t="str">
        <f>"2020024012"</f>
        <v>2020024012</v>
      </c>
      <c r="C1091" s="5">
        <v>0</v>
      </c>
      <c r="D1091" s="6">
        <v>0</v>
      </c>
      <c r="E1091" s="7">
        <f t="shared" ref="E1091:E1154" si="17">SUM(C1091:D1091)</f>
        <v>0</v>
      </c>
      <c r="F1091" s="8" t="s">
        <v>8</v>
      </c>
    </row>
    <row r="1092" spans="1:6" ht="18" customHeight="1">
      <c r="A1092" s="4" t="s">
        <v>33</v>
      </c>
      <c r="B1092" s="4" t="str">
        <f>"2020044217"</f>
        <v>2020044217</v>
      </c>
      <c r="C1092" s="5">
        <v>0</v>
      </c>
      <c r="D1092" s="6">
        <v>0</v>
      </c>
      <c r="E1092" s="7">
        <f t="shared" si="17"/>
        <v>0</v>
      </c>
      <c r="F1092" s="8" t="s">
        <v>8</v>
      </c>
    </row>
    <row r="1093" spans="1:6" ht="18" customHeight="1">
      <c r="A1093" s="4" t="s">
        <v>33</v>
      </c>
      <c r="B1093" s="4" t="str">
        <f>"2020045909"</f>
        <v>2020045909</v>
      </c>
      <c r="C1093" s="5">
        <v>0</v>
      </c>
      <c r="D1093" s="6">
        <v>0</v>
      </c>
      <c r="E1093" s="7">
        <f t="shared" si="17"/>
        <v>0</v>
      </c>
      <c r="F1093" s="8" t="s">
        <v>8</v>
      </c>
    </row>
    <row r="1094" spans="1:6" ht="18" customHeight="1">
      <c r="A1094" s="4" t="s">
        <v>34</v>
      </c>
      <c r="B1094" s="4" t="str">
        <f>"2020043609"</f>
        <v>2020043609</v>
      </c>
      <c r="C1094" s="5">
        <v>73.8</v>
      </c>
      <c r="D1094" s="6">
        <v>76</v>
      </c>
      <c r="E1094" s="7">
        <f t="shared" si="17"/>
        <v>149.80000000000001</v>
      </c>
      <c r="F1094" s="8"/>
    </row>
    <row r="1095" spans="1:6" ht="18" customHeight="1">
      <c r="A1095" s="4" t="s">
        <v>34</v>
      </c>
      <c r="B1095" s="4" t="str">
        <f>"2020047507"</f>
        <v>2020047507</v>
      </c>
      <c r="C1095" s="5">
        <v>73.7</v>
      </c>
      <c r="D1095" s="6">
        <v>75.5</v>
      </c>
      <c r="E1095" s="7">
        <f t="shared" si="17"/>
        <v>149.19999999999999</v>
      </c>
      <c r="F1095" s="8"/>
    </row>
    <row r="1096" spans="1:6" ht="18" customHeight="1">
      <c r="A1096" s="4" t="s">
        <v>34</v>
      </c>
      <c r="B1096" s="4" t="str">
        <f>"2020040708"</f>
        <v>2020040708</v>
      </c>
      <c r="C1096" s="5">
        <v>73.099999999999994</v>
      </c>
      <c r="D1096" s="6">
        <v>73.5</v>
      </c>
      <c r="E1096" s="7">
        <f t="shared" si="17"/>
        <v>146.6</v>
      </c>
      <c r="F1096" s="8"/>
    </row>
    <row r="1097" spans="1:6" ht="18" customHeight="1">
      <c r="A1097" s="4" t="s">
        <v>34</v>
      </c>
      <c r="B1097" s="4" t="str">
        <f>"2020033224"</f>
        <v>2020033224</v>
      </c>
      <c r="C1097" s="5">
        <v>63.8</v>
      </c>
      <c r="D1097" s="6">
        <v>79.5</v>
      </c>
      <c r="E1097" s="7">
        <f t="shared" si="17"/>
        <v>143.30000000000001</v>
      </c>
      <c r="F1097" s="8"/>
    </row>
    <row r="1098" spans="1:6" ht="18" customHeight="1">
      <c r="A1098" s="4" t="s">
        <v>34</v>
      </c>
      <c r="B1098" s="4" t="str">
        <f>"2020011123"</f>
        <v>2020011123</v>
      </c>
      <c r="C1098" s="5">
        <v>64</v>
      </c>
      <c r="D1098" s="6">
        <v>72.5</v>
      </c>
      <c r="E1098" s="7">
        <f t="shared" si="17"/>
        <v>136.5</v>
      </c>
      <c r="F1098" s="8"/>
    </row>
    <row r="1099" spans="1:6" ht="18" customHeight="1">
      <c r="A1099" s="4" t="s">
        <v>34</v>
      </c>
      <c r="B1099" s="4" t="str">
        <f>"2020045526"</f>
        <v>2020045526</v>
      </c>
      <c r="C1099" s="5">
        <v>70.099999999999994</v>
      </c>
      <c r="D1099" s="6">
        <v>66</v>
      </c>
      <c r="E1099" s="7">
        <f t="shared" si="17"/>
        <v>136.1</v>
      </c>
      <c r="F1099" s="8"/>
    </row>
    <row r="1100" spans="1:6" ht="18" customHeight="1">
      <c r="A1100" s="4" t="s">
        <v>34</v>
      </c>
      <c r="B1100" s="4" t="str">
        <f>"2020043410"</f>
        <v>2020043410</v>
      </c>
      <c r="C1100" s="5">
        <v>64.7</v>
      </c>
      <c r="D1100" s="6">
        <v>67.5</v>
      </c>
      <c r="E1100" s="7">
        <f t="shared" si="17"/>
        <v>132.19999999999999</v>
      </c>
      <c r="F1100" s="8"/>
    </row>
    <row r="1101" spans="1:6" ht="18" customHeight="1">
      <c r="A1101" s="4" t="s">
        <v>34</v>
      </c>
      <c r="B1101" s="4" t="str">
        <f>"2020045826"</f>
        <v>2020045826</v>
      </c>
      <c r="C1101" s="5">
        <v>75.099999999999994</v>
      </c>
      <c r="D1101" s="6">
        <v>55.5</v>
      </c>
      <c r="E1101" s="7">
        <f t="shared" si="17"/>
        <v>130.6</v>
      </c>
      <c r="F1101" s="8"/>
    </row>
    <row r="1102" spans="1:6" ht="18" customHeight="1">
      <c r="A1102" s="4" t="s">
        <v>34</v>
      </c>
      <c r="B1102" s="4" t="str">
        <f>"2020043405"</f>
        <v>2020043405</v>
      </c>
      <c r="C1102" s="5">
        <v>64.900000000000006</v>
      </c>
      <c r="D1102" s="6">
        <v>65</v>
      </c>
      <c r="E1102" s="7">
        <f t="shared" si="17"/>
        <v>129.9</v>
      </c>
      <c r="F1102" s="8"/>
    </row>
    <row r="1103" spans="1:6" ht="18" customHeight="1">
      <c r="A1103" s="4" t="s">
        <v>34</v>
      </c>
      <c r="B1103" s="4" t="str">
        <f>"2020042814"</f>
        <v>2020042814</v>
      </c>
      <c r="C1103" s="5">
        <v>67.099999999999994</v>
      </c>
      <c r="D1103" s="6">
        <v>59</v>
      </c>
      <c r="E1103" s="7">
        <f t="shared" si="17"/>
        <v>126.1</v>
      </c>
      <c r="F1103" s="8"/>
    </row>
    <row r="1104" spans="1:6" ht="18" customHeight="1">
      <c r="A1104" s="4" t="s">
        <v>34</v>
      </c>
      <c r="B1104" s="4" t="str">
        <f>"2020033112"</f>
        <v>2020033112</v>
      </c>
      <c r="C1104" s="5">
        <v>68</v>
      </c>
      <c r="D1104" s="6">
        <v>58</v>
      </c>
      <c r="E1104" s="7">
        <f t="shared" si="17"/>
        <v>126</v>
      </c>
      <c r="F1104" s="8"/>
    </row>
    <row r="1105" spans="1:6" ht="18" customHeight="1">
      <c r="A1105" s="4" t="s">
        <v>34</v>
      </c>
      <c r="B1105" s="4" t="str">
        <f>"2020020425"</f>
        <v>2020020425</v>
      </c>
      <c r="C1105" s="5">
        <v>64.3</v>
      </c>
      <c r="D1105" s="6">
        <v>55.5</v>
      </c>
      <c r="E1105" s="7">
        <f t="shared" si="17"/>
        <v>119.8</v>
      </c>
      <c r="F1105" s="8"/>
    </row>
    <row r="1106" spans="1:6" ht="18" customHeight="1">
      <c r="A1106" s="4" t="s">
        <v>34</v>
      </c>
      <c r="B1106" s="4" t="str">
        <f>"2020040624"</f>
        <v>2020040624</v>
      </c>
      <c r="C1106" s="5">
        <v>62.4</v>
      </c>
      <c r="D1106" s="6">
        <v>57</v>
      </c>
      <c r="E1106" s="7">
        <f t="shared" si="17"/>
        <v>119.4</v>
      </c>
      <c r="F1106" s="8"/>
    </row>
    <row r="1107" spans="1:6" ht="18" customHeight="1">
      <c r="A1107" s="4" t="s">
        <v>34</v>
      </c>
      <c r="B1107" s="4" t="str">
        <f>"2020012212"</f>
        <v>2020012212</v>
      </c>
      <c r="C1107" s="5">
        <v>66.2</v>
      </c>
      <c r="D1107" s="6">
        <v>51</v>
      </c>
      <c r="E1107" s="7">
        <f t="shared" si="17"/>
        <v>117.2</v>
      </c>
      <c r="F1107" s="8"/>
    </row>
    <row r="1108" spans="1:6" ht="18" customHeight="1">
      <c r="A1108" s="4" t="s">
        <v>34</v>
      </c>
      <c r="B1108" s="4" t="str">
        <f>"2020010603"</f>
        <v>2020010603</v>
      </c>
      <c r="C1108" s="5">
        <v>53.7</v>
      </c>
      <c r="D1108" s="6">
        <v>46</v>
      </c>
      <c r="E1108" s="7">
        <f t="shared" si="17"/>
        <v>99.7</v>
      </c>
      <c r="F1108" s="8"/>
    </row>
    <row r="1109" spans="1:6" ht="18" customHeight="1">
      <c r="A1109" s="4" t="s">
        <v>34</v>
      </c>
      <c r="B1109" s="4" t="str">
        <f>"2020041905"</f>
        <v>2020041905</v>
      </c>
      <c r="C1109" s="5">
        <v>0</v>
      </c>
      <c r="D1109" s="6">
        <v>0</v>
      </c>
      <c r="E1109" s="7">
        <f t="shared" si="17"/>
        <v>0</v>
      </c>
      <c r="F1109" s="8" t="s">
        <v>8</v>
      </c>
    </row>
    <row r="1110" spans="1:6" ht="18" customHeight="1">
      <c r="A1110" s="4" t="s">
        <v>35</v>
      </c>
      <c r="B1110" s="4" t="str">
        <f>"2020040126"</f>
        <v>2020040126</v>
      </c>
      <c r="C1110" s="5">
        <v>73.5</v>
      </c>
      <c r="D1110" s="6">
        <v>82.5</v>
      </c>
      <c r="E1110" s="7">
        <f t="shared" si="17"/>
        <v>156</v>
      </c>
      <c r="F1110" s="8"/>
    </row>
    <row r="1111" spans="1:6" ht="18" customHeight="1">
      <c r="A1111" s="4" t="s">
        <v>35</v>
      </c>
      <c r="B1111" s="4" t="str">
        <f>"2020013602"</f>
        <v>2020013602</v>
      </c>
      <c r="C1111" s="5">
        <v>76.099999999999994</v>
      </c>
      <c r="D1111" s="6">
        <v>79.5</v>
      </c>
      <c r="E1111" s="7">
        <f t="shared" si="17"/>
        <v>155.6</v>
      </c>
      <c r="F1111" s="8"/>
    </row>
    <row r="1112" spans="1:6" ht="18" customHeight="1">
      <c r="A1112" s="4" t="s">
        <v>35</v>
      </c>
      <c r="B1112" s="4" t="str">
        <f>"2020030215"</f>
        <v>2020030215</v>
      </c>
      <c r="C1112" s="5">
        <v>77.599999999999994</v>
      </c>
      <c r="D1112" s="6">
        <v>76</v>
      </c>
      <c r="E1112" s="7">
        <f t="shared" si="17"/>
        <v>153.6</v>
      </c>
      <c r="F1112" s="8"/>
    </row>
    <row r="1113" spans="1:6" ht="18" customHeight="1">
      <c r="A1113" s="4" t="s">
        <v>35</v>
      </c>
      <c r="B1113" s="4" t="str">
        <f>"2020010622"</f>
        <v>2020010622</v>
      </c>
      <c r="C1113" s="5">
        <v>66.5</v>
      </c>
      <c r="D1113" s="6">
        <v>86.5</v>
      </c>
      <c r="E1113" s="7">
        <f t="shared" si="17"/>
        <v>153</v>
      </c>
      <c r="F1113" s="8"/>
    </row>
    <row r="1114" spans="1:6" ht="18" customHeight="1">
      <c r="A1114" s="4" t="s">
        <v>35</v>
      </c>
      <c r="B1114" s="4" t="str">
        <f>"2020031730"</f>
        <v>2020031730</v>
      </c>
      <c r="C1114" s="5">
        <v>70.900000000000006</v>
      </c>
      <c r="D1114" s="6">
        <v>82</v>
      </c>
      <c r="E1114" s="7">
        <f t="shared" si="17"/>
        <v>152.9</v>
      </c>
      <c r="F1114" s="8"/>
    </row>
    <row r="1115" spans="1:6" ht="18" customHeight="1">
      <c r="A1115" s="4" t="s">
        <v>35</v>
      </c>
      <c r="B1115" s="4" t="str">
        <f>"2020043030"</f>
        <v>2020043030</v>
      </c>
      <c r="C1115" s="5">
        <v>74.3</v>
      </c>
      <c r="D1115" s="6">
        <v>78.5</v>
      </c>
      <c r="E1115" s="7">
        <f t="shared" si="17"/>
        <v>152.80000000000001</v>
      </c>
      <c r="F1115" s="8"/>
    </row>
    <row r="1116" spans="1:6" ht="18" customHeight="1">
      <c r="A1116" s="4" t="s">
        <v>35</v>
      </c>
      <c r="B1116" s="4" t="str">
        <f>"2020046902"</f>
        <v>2020046902</v>
      </c>
      <c r="C1116" s="5">
        <v>68.099999999999994</v>
      </c>
      <c r="D1116" s="6">
        <v>84.5</v>
      </c>
      <c r="E1116" s="7">
        <f t="shared" si="17"/>
        <v>152.6</v>
      </c>
      <c r="F1116" s="8"/>
    </row>
    <row r="1117" spans="1:6" ht="18" customHeight="1">
      <c r="A1117" s="4" t="s">
        <v>35</v>
      </c>
      <c r="B1117" s="4" t="str">
        <f>"2020012716"</f>
        <v>2020012716</v>
      </c>
      <c r="C1117" s="5">
        <v>69.5</v>
      </c>
      <c r="D1117" s="6">
        <v>79</v>
      </c>
      <c r="E1117" s="7">
        <f t="shared" si="17"/>
        <v>148.5</v>
      </c>
      <c r="F1117" s="8"/>
    </row>
    <row r="1118" spans="1:6" ht="18" customHeight="1">
      <c r="A1118" s="4" t="s">
        <v>35</v>
      </c>
      <c r="B1118" s="4" t="str">
        <f>"2020030617"</f>
        <v>2020030617</v>
      </c>
      <c r="C1118" s="5">
        <v>68.8</v>
      </c>
      <c r="D1118" s="6">
        <v>77</v>
      </c>
      <c r="E1118" s="7">
        <f t="shared" si="17"/>
        <v>145.80000000000001</v>
      </c>
      <c r="F1118" s="8"/>
    </row>
    <row r="1119" spans="1:6" ht="18" customHeight="1">
      <c r="A1119" s="4" t="s">
        <v>35</v>
      </c>
      <c r="B1119" s="4" t="str">
        <f>"2020024723"</f>
        <v>2020024723</v>
      </c>
      <c r="C1119" s="5">
        <v>75.900000000000006</v>
      </c>
      <c r="D1119" s="6">
        <v>69.5</v>
      </c>
      <c r="E1119" s="7">
        <f t="shared" si="17"/>
        <v>145.4</v>
      </c>
      <c r="F1119" s="8"/>
    </row>
    <row r="1120" spans="1:6" ht="18" customHeight="1">
      <c r="A1120" s="4" t="s">
        <v>35</v>
      </c>
      <c r="B1120" s="4" t="str">
        <f>"2020032519"</f>
        <v>2020032519</v>
      </c>
      <c r="C1120" s="5">
        <v>68.099999999999994</v>
      </c>
      <c r="D1120" s="6">
        <v>76.5</v>
      </c>
      <c r="E1120" s="7">
        <f t="shared" si="17"/>
        <v>144.6</v>
      </c>
      <c r="F1120" s="8"/>
    </row>
    <row r="1121" spans="1:6" ht="18" customHeight="1">
      <c r="A1121" s="4" t="s">
        <v>35</v>
      </c>
      <c r="B1121" s="4" t="str">
        <f>"2020030726"</f>
        <v>2020030726</v>
      </c>
      <c r="C1121" s="5">
        <v>68.599999999999994</v>
      </c>
      <c r="D1121" s="6">
        <v>74.5</v>
      </c>
      <c r="E1121" s="7">
        <f t="shared" si="17"/>
        <v>143.1</v>
      </c>
      <c r="F1121" s="8"/>
    </row>
    <row r="1122" spans="1:6" ht="18" customHeight="1">
      <c r="A1122" s="4" t="s">
        <v>35</v>
      </c>
      <c r="B1122" s="4" t="str">
        <f>"2020024405"</f>
        <v>2020024405</v>
      </c>
      <c r="C1122" s="5">
        <v>67.3</v>
      </c>
      <c r="D1122" s="6">
        <v>75.5</v>
      </c>
      <c r="E1122" s="7">
        <f t="shared" si="17"/>
        <v>142.80000000000001</v>
      </c>
      <c r="F1122" s="8"/>
    </row>
    <row r="1123" spans="1:6" ht="18" customHeight="1">
      <c r="A1123" s="4" t="s">
        <v>35</v>
      </c>
      <c r="B1123" s="4" t="str">
        <f>"2020021322"</f>
        <v>2020021322</v>
      </c>
      <c r="C1123" s="5">
        <v>60.3</v>
      </c>
      <c r="D1123" s="6">
        <v>82.5</v>
      </c>
      <c r="E1123" s="7">
        <f t="shared" si="17"/>
        <v>142.80000000000001</v>
      </c>
      <c r="F1123" s="8"/>
    </row>
    <row r="1124" spans="1:6" ht="18" customHeight="1">
      <c r="A1124" s="4" t="s">
        <v>35</v>
      </c>
      <c r="B1124" s="4" t="str">
        <f>"2020010304"</f>
        <v>2020010304</v>
      </c>
      <c r="C1124" s="5">
        <v>65.8</v>
      </c>
      <c r="D1124" s="6">
        <v>76.5</v>
      </c>
      <c r="E1124" s="7">
        <f t="shared" si="17"/>
        <v>142.30000000000001</v>
      </c>
      <c r="F1124" s="8"/>
    </row>
    <row r="1125" spans="1:6" ht="18" customHeight="1">
      <c r="A1125" s="4" t="s">
        <v>35</v>
      </c>
      <c r="B1125" s="4" t="str">
        <f>"2020011605"</f>
        <v>2020011605</v>
      </c>
      <c r="C1125" s="5">
        <v>70.5</v>
      </c>
      <c r="D1125" s="6">
        <v>71</v>
      </c>
      <c r="E1125" s="7">
        <f t="shared" si="17"/>
        <v>141.5</v>
      </c>
      <c r="F1125" s="8"/>
    </row>
    <row r="1126" spans="1:6" ht="18" customHeight="1">
      <c r="A1126" s="4" t="s">
        <v>35</v>
      </c>
      <c r="B1126" s="4" t="str">
        <f>"2020033708"</f>
        <v>2020033708</v>
      </c>
      <c r="C1126" s="5">
        <v>69.8</v>
      </c>
      <c r="D1126" s="6">
        <v>71</v>
      </c>
      <c r="E1126" s="7">
        <f t="shared" si="17"/>
        <v>140.80000000000001</v>
      </c>
      <c r="F1126" s="8"/>
    </row>
    <row r="1127" spans="1:6" ht="18" customHeight="1">
      <c r="A1127" s="4" t="s">
        <v>35</v>
      </c>
      <c r="B1127" s="4" t="str">
        <f>"2020044325"</f>
        <v>2020044325</v>
      </c>
      <c r="C1127" s="5">
        <v>60</v>
      </c>
      <c r="D1127" s="6">
        <v>80.5</v>
      </c>
      <c r="E1127" s="7">
        <f t="shared" si="17"/>
        <v>140.5</v>
      </c>
      <c r="F1127" s="8"/>
    </row>
    <row r="1128" spans="1:6" ht="18" customHeight="1">
      <c r="A1128" s="4" t="s">
        <v>35</v>
      </c>
      <c r="B1128" s="4" t="str">
        <f>"2020021814"</f>
        <v>2020021814</v>
      </c>
      <c r="C1128" s="5">
        <v>68.5</v>
      </c>
      <c r="D1128" s="6">
        <v>71.5</v>
      </c>
      <c r="E1128" s="7">
        <f t="shared" si="17"/>
        <v>140</v>
      </c>
      <c r="F1128" s="8"/>
    </row>
    <row r="1129" spans="1:6" ht="18" customHeight="1">
      <c r="A1129" s="4" t="s">
        <v>35</v>
      </c>
      <c r="B1129" s="4" t="str">
        <f>"2020047223"</f>
        <v>2020047223</v>
      </c>
      <c r="C1129" s="5">
        <v>76.5</v>
      </c>
      <c r="D1129" s="6">
        <v>62.5</v>
      </c>
      <c r="E1129" s="7">
        <f t="shared" si="17"/>
        <v>139</v>
      </c>
      <c r="F1129" s="8"/>
    </row>
    <row r="1130" spans="1:6" ht="18" customHeight="1">
      <c r="A1130" s="4" t="s">
        <v>35</v>
      </c>
      <c r="B1130" s="4" t="str">
        <f>"2020044724"</f>
        <v>2020044724</v>
      </c>
      <c r="C1130" s="5">
        <v>71.400000000000006</v>
      </c>
      <c r="D1130" s="6">
        <v>67.5</v>
      </c>
      <c r="E1130" s="7">
        <f t="shared" si="17"/>
        <v>138.9</v>
      </c>
      <c r="F1130" s="8"/>
    </row>
    <row r="1131" spans="1:6" ht="18" customHeight="1">
      <c r="A1131" s="4" t="s">
        <v>35</v>
      </c>
      <c r="B1131" s="4" t="str">
        <f>"2020013808"</f>
        <v>2020013808</v>
      </c>
      <c r="C1131" s="5">
        <v>61.5</v>
      </c>
      <c r="D1131" s="6">
        <v>77</v>
      </c>
      <c r="E1131" s="7">
        <f t="shared" si="17"/>
        <v>138.5</v>
      </c>
      <c r="F1131" s="8"/>
    </row>
    <row r="1132" spans="1:6" ht="18" customHeight="1">
      <c r="A1132" s="4" t="s">
        <v>35</v>
      </c>
      <c r="B1132" s="4" t="str">
        <f>"2020013730"</f>
        <v>2020013730</v>
      </c>
      <c r="C1132" s="5">
        <v>55.1</v>
      </c>
      <c r="D1132" s="6">
        <v>83</v>
      </c>
      <c r="E1132" s="7">
        <f t="shared" si="17"/>
        <v>138.1</v>
      </c>
      <c r="F1132" s="8"/>
    </row>
    <row r="1133" spans="1:6" ht="18" customHeight="1">
      <c r="A1133" s="4" t="s">
        <v>35</v>
      </c>
      <c r="B1133" s="4" t="str">
        <f>"2020042002"</f>
        <v>2020042002</v>
      </c>
      <c r="C1133" s="5">
        <v>64.900000000000006</v>
      </c>
      <c r="D1133" s="6">
        <v>73</v>
      </c>
      <c r="E1133" s="7">
        <f t="shared" si="17"/>
        <v>137.9</v>
      </c>
      <c r="F1133" s="8"/>
    </row>
    <row r="1134" spans="1:6" ht="18" customHeight="1">
      <c r="A1134" s="4" t="s">
        <v>35</v>
      </c>
      <c r="B1134" s="4" t="str">
        <f>"2020024804"</f>
        <v>2020024804</v>
      </c>
      <c r="C1134" s="5">
        <v>70.900000000000006</v>
      </c>
      <c r="D1134" s="6">
        <v>66.5</v>
      </c>
      <c r="E1134" s="7">
        <f t="shared" si="17"/>
        <v>137.4</v>
      </c>
      <c r="F1134" s="8"/>
    </row>
    <row r="1135" spans="1:6" ht="18" customHeight="1">
      <c r="A1135" s="4" t="s">
        <v>35</v>
      </c>
      <c r="B1135" s="4" t="str">
        <f>"2020033423"</f>
        <v>2020033423</v>
      </c>
      <c r="C1135" s="5">
        <v>71.3</v>
      </c>
      <c r="D1135" s="6">
        <v>66</v>
      </c>
      <c r="E1135" s="7">
        <f t="shared" si="17"/>
        <v>137.30000000000001</v>
      </c>
      <c r="F1135" s="8"/>
    </row>
    <row r="1136" spans="1:6" ht="18" customHeight="1">
      <c r="A1136" s="4" t="s">
        <v>35</v>
      </c>
      <c r="B1136" s="4" t="str">
        <f>"2020023813"</f>
        <v>2020023813</v>
      </c>
      <c r="C1136" s="5">
        <v>71</v>
      </c>
      <c r="D1136" s="6">
        <v>66</v>
      </c>
      <c r="E1136" s="7">
        <f t="shared" si="17"/>
        <v>137</v>
      </c>
      <c r="F1136" s="8"/>
    </row>
    <row r="1137" spans="1:6" ht="18" customHeight="1">
      <c r="A1137" s="4" t="s">
        <v>35</v>
      </c>
      <c r="B1137" s="4" t="str">
        <f>"2020044719"</f>
        <v>2020044719</v>
      </c>
      <c r="C1137" s="5">
        <v>67.5</v>
      </c>
      <c r="D1137" s="6">
        <v>69.5</v>
      </c>
      <c r="E1137" s="7">
        <f t="shared" si="17"/>
        <v>137</v>
      </c>
      <c r="F1137" s="8"/>
    </row>
    <row r="1138" spans="1:6" ht="18" customHeight="1">
      <c r="A1138" s="4" t="s">
        <v>35</v>
      </c>
      <c r="B1138" s="4" t="str">
        <f>"2020011717"</f>
        <v>2020011717</v>
      </c>
      <c r="C1138" s="5">
        <v>62.9</v>
      </c>
      <c r="D1138" s="6">
        <v>72.5</v>
      </c>
      <c r="E1138" s="7">
        <f t="shared" si="17"/>
        <v>135.4</v>
      </c>
      <c r="F1138" s="8"/>
    </row>
    <row r="1139" spans="1:6" ht="18" customHeight="1">
      <c r="A1139" s="4" t="s">
        <v>35</v>
      </c>
      <c r="B1139" s="4" t="str">
        <f>"2020031708"</f>
        <v>2020031708</v>
      </c>
      <c r="C1139" s="5">
        <v>52.7</v>
      </c>
      <c r="D1139" s="6">
        <v>80.5</v>
      </c>
      <c r="E1139" s="7">
        <f t="shared" si="17"/>
        <v>133.19999999999999</v>
      </c>
      <c r="F1139" s="8"/>
    </row>
    <row r="1140" spans="1:6" ht="18" customHeight="1">
      <c r="A1140" s="4" t="s">
        <v>35</v>
      </c>
      <c r="B1140" s="4" t="str">
        <f>"2020047505"</f>
        <v>2020047505</v>
      </c>
      <c r="C1140" s="5">
        <v>70.5</v>
      </c>
      <c r="D1140" s="6">
        <v>62</v>
      </c>
      <c r="E1140" s="7">
        <f t="shared" si="17"/>
        <v>132.5</v>
      </c>
      <c r="F1140" s="8"/>
    </row>
    <row r="1141" spans="1:6" ht="18" customHeight="1">
      <c r="A1141" s="4" t="s">
        <v>35</v>
      </c>
      <c r="B1141" s="4" t="str">
        <f>"2020020908"</f>
        <v>2020020908</v>
      </c>
      <c r="C1141" s="5">
        <v>62.6</v>
      </c>
      <c r="D1141" s="6">
        <v>69.5</v>
      </c>
      <c r="E1141" s="7">
        <f t="shared" si="17"/>
        <v>132.1</v>
      </c>
      <c r="F1141" s="8"/>
    </row>
    <row r="1142" spans="1:6" ht="18" customHeight="1">
      <c r="A1142" s="4" t="s">
        <v>35</v>
      </c>
      <c r="B1142" s="4" t="str">
        <f>"2020043816"</f>
        <v>2020043816</v>
      </c>
      <c r="C1142" s="5">
        <v>67.099999999999994</v>
      </c>
      <c r="D1142" s="6">
        <v>61.5</v>
      </c>
      <c r="E1142" s="7">
        <f t="shared" si="17"/>
        <v>128.6</v>
      </c>
      <c r="F1142" s="8"/>
    </row>
    <row r="1143" spans="1:6" ht="18" customHeight="1">
      <c r="A1143" s="4" t="s">
        <v>35</v>
      </c>
      <c r="B1143" s="4" t="str">
        <f>"2020040928"</f>
        <v>2020040928</v>
      </c>
      <c r="C1143" s="5">
        <v>56.7</v>
      </c>
      <c r="D1143" s="6">
        <v>70.5</v>
      </c>
      <c r="E1143" s="7">
        <f t="shared" si="17"/>
        <v>127.2</v>
      </c>
      <c r="F1143" s="8"/>
    </row>
    <row r="1144" spans="1:6" ht="18" customHeight="1">
      <c r="A1144" s="4" t="s">
        <v>35</v>
      </c>
      <c r="B1144" s="4" t="str">
        <f>"2020043601"</f>
        <v>2020043601</v>
      </c>
      <c r="C1144" s="5">
        <v>61.8</v>
      </c>
      <c r="D1144" s="6">
        <v>65</v>
      </c>
      <c r="E1144" s="7">
        <f t="shared" si="17"/>
        <v>126.8</v>
      </c>
      <c r="F1144" s="8"/>
    </row>
    <row r="1145" spans="1:6" ht="18" customHeight="1">
      <c r="A1145" s="4" t="s">
        <v>35</v>
      </c>
      <c r="B1145" s="4" t="str">
        <f>"2020040910"</f>
        <v>2020040910</v>
      </c>
      <c r="C1145" s="5">
        <v>61.7</v>
      </c>
      <c r="D1145" s="6">
        <v>63.5</v>
      </c>
      <c r="E1145" s="7">
        <f t="shared" si="17"/>
        <v>125.2</v>
      </c>
      <c r="F1145" s="8"/>
    </row>
    <row r="1146" spans="1:6" ht="18" customHeight="1">
      <c r="A1146" s="4" t="s">
        <v>35</v>
      </c>
      <c r="B1146" s="4" t="str">
        <f>"2020023612"</f>
        <v>2020023612</v>
      </c>
      <c r="C1146" s="5">
        <v>63.5</v>
      </c>
      <c r="D1146" s="6">
        <v>61.5</v>
      </c>
      <c r="E1146" s="7">
        <f t="shared" si="17"/>
        <v>125</v>
      </c>
      <c r="F1146" s="8"/>
    </row>
    <row r="1147" spans="1:6" ht="18" customHeight="1">
      <c r="A1147" s="4" t="s">
        <v>35</v>
      </c>
      <c r="B1147" s="4" t="str">
        <f>"2020020111"</f>
        <v>2020020111</v>
      </c>
      <c r="C1147" s="5">
        <v>59.6</v>
      </c>
      <c r="D1147" s="6">
        <v>61.5</v>
      </c>
      <c r="E1147" s="7">
        <f t="shared" si="17"/>
        <v>121.1</v>
      </c>
      <c r="F1147" s="8"/>
    </row>
    <row r="1148" spans="1:6" ht="18" customHeight="1">
      <c r="A1148" s="4" t="s">
        <v>35</v>
      </c>
      <c r="B1148" s="4" t="str">
        <f>"2020023101"</f>
        <v>2020023101</v>
      </c>
      <c r="C1148" s="5">
        <v>65.7</v>
      </c>
      <c r="D1148" s="6">
        <v>54.5</v>
      </c>
      <c r="E1148" s="7">
        <f t="shared" si="17"/>
        <v>120.2</v>
      </c>
      <c r="F1148" s="8"/>
    </row>
    <row r="1149" spans="1:6" ht="18" customHeight="1">
      <c r="A1149" s="4" t="s">
        <v>35</v>
      </c>
      <c r="B1149" s="4" t="str">
        <f>"2020024816"</f>
        <v>2020024816</v>
      </c>
      <c r="C1149" s="5">
        <v>54.9</v>
      </c>
      <c r="D1149" s="6">
        <v>64</v>
      </c>
      <c r="E1149" s="7">
        <f t="shared" si="17"/>
        <v>118.9</v>
      </c>
      <c r="F1149" s="8"/>
    </row>
    <row r="1150" spans="1:6" ht="18" customHeight="1">
      <c r="A1150" s="4" t="s">
        <v>35</v>
      </c>
      <c r="B1150" s="4" t="str">
        <f>"2020011121"</f>
        <v>2020011121</v>
      </c>
      <c r="C1150" s="5">
        <v>57.8</v>
      </c>
      <c r="D1150" s="6">
        <v>60.5</v>
      </c>
      <c r="E1150" s="7">
        <f t="shared" si="17"/>
        <v>118.3</v>
      </c>
      <c r="F1150" s="8"/>
    </row>
    <row r="1151" spans="1:6" ht="18" customHeight="1">
      <c r="A1151" s="4" t="s">
        <v>35</v>
      </c>
      <c r="B1151" s="4" t="str">
        <f>"2020010628"</f>
        <v>2020010628</v>
      </c>
      <c r="C1151" s="5">
        <v>55.1</v>
      </c>
      <c r="D1151" s="6">
        <v>57.5</v>
      </c>
      <c r="E1151" s="7">
        <f t="shared" si="17"/>
        <v>112.6</v>
      </c>
      <c r="F1151" s="8"/>
    </row>
    <row r="1152" spans="1:6" ht="18" customHeight="1">
      <c r="A1152" s="4" t="s">
        <v>35</v>
      </c>
      <c r="B1152" s="4" t="str">
        <f>"2020047325"</f>
        <v>2020047325</v>
      </c>
      <c r="C1152" s="5">
        <v>71.099999999999994</v>
      </c>
      <c r="D1152" s="6">
        <v>26</v>
      </c>
      <c r="E1152" s="7">
        <f t="shared" si="17"/>
        <v>97.1</v>
      </c>
      <c r="F1152" s="8"/>
    </row>
    <row r="1153" spans="1:6" ht="18" customHeight="1">
      <c r="A1153" s="4" t="s">
        <v>35</v>
      </c>
      <c r="B1153" s="4" t="str">
        <f>"2020014002"</f>
        <v>2020014002</v>
      </c>
      <c r="C1153" s="5">
        <v>37.200000000000003</v>
      </c>
      <c r="D1153" s="6">
        <v>0</v>
      </c>
      <c r="E1153" s="7">
        <f t="shared" si="17"/>
        <v>37.200000000000003</v>
      </c>
      <c r="F1153" s="8" t="s">
        <v>36</v>
      </c>
    </row>
    <row r="1154" spans="1:6" ht="18" customHeight="1">
      <c r="A1154" s="4" t="s">
        <v>35</v>
      </c>
      <c r="B1154" s="4" t="str">
        <f>"2020011328"</f>
        <v>2020011328</v>
      </c>
      <c r="C1154" s="5">
        <v>0</v>
      </c>
      <c r="D1154" s="6">
        <v>0</v>
      </c>
      <c r="E1154" s="7">
        <f t="shared" si="17"/>
        <v>0</v>
      </c>
      <c r="F1154" s="9" t="s">
        <v>8</v>
      </c>
    </row>
    <row r="1155" spans="1:6" ht="18" customHeight="1">
      <c r="A1155" s="4" t="s">
        <v>35</v>
      </c>
      <c r="B1155" s="4" t="str">
        <f>"2020011511"</f>
        <v>2020011511</v>
      </c>
      <c r="C1155" s="5">
        <v>0</v>
      </c>
      <c r="D1155" s="6">
        <v>0</v>
      </c>
      <c r="E1155" s="7">
        <f t="shared" ref="E1155:E1218" si="18">SUM(C1155:D1155)</f>
        <v>0</v>
      </c>
      <c r="F1155" s="9" t="s">
        <v>8</v>
      </c>
    </row>
    <row r="1156" spans="1:6" ht="18" customHeight="1">
      <c r="A1156" s="4" t="s">
        <v>35</v>
      </c>
      <c r="B1156" s="4" t="str">
        <f>"2020011613"</f>
        <v>2020011613</v>
      </c>
      <c r="C1156" s="5">
        <v>0</v>
      </c>
      <c r="D1156" s="6">
        <v>0</v>
      </c>
      <c r="E1156" s="7">
        <f t="shared" si="18"/>
        <v>0</v>
      </c>
      <c r="F1156" s="9" t="s">
        <v>8</v>
      </c>
    </row>
    <row r="1157" spans="1:6" ht="18" customHeight="1">
      <c r="A1157" s="4" t="s">
        <v>35</v>
      </c>
      <c r="B1157" s="4" t="str">
        <f>"2020022121"</f>
        <v>2020022121</v>
      </c>
      <c r="C1157" s="5">
        <v>0</v>
      </c>
      <c r="D1157" s="6">
        <v>0</v>
      </c>
      <c r="E1157" s="7">
        <f t="shared" si="18"/>
        <v>0</v>
      </c>
      <c r="F1157" s="8" t="s">
        <v>8</v>
      </c>
    </row>
    <row r="1158" spans="1:6" ht="18" customHeight="1">
      <c r="A1158" s="4" t="s">
        <v>35</v>
      </c>
      <c r="B1158" s="4" t="str">
        <f>"2020024221"</f>
        <v>2020024221</v>
      </c>
      <c r="C1158" s="5">
        <v>0</v>
      </c>
      <c r="D1158" s="6">
        <v>0</v>
      </c>
      <c r="E1158" s="7">
        <f t="shared" si="18"/>
        <v>0</v>
      </c>
      <c r="F1158" s="8" t="s">
        <v>8</v>
      </c>
    </row>
    <row r="1159" spans="1:6" ht="18" customHeight="1">
      <c r="A1159" s="4" t="s">
        <v>35</v>
      </c>
      <c r="B1159" s="4" t="str">
        <f>"2020024810"</f>
        <v>2020024810</v>
      </c>
      <c r="C1159" s="5">
        <v>0</v>
      </c>
      <c r="D1159" s="6">
        <v>0</v>
      </c>
      <c r="E1159" s="7">
        <f t="shared" si="18"/>
        <v>0</v>
      </c>
      <c r="F1159" s="8" t="s">
        <v>8</v>
      </c>
    </row>
    <row r="1160" spans="1:6" ht="18" customHeight="1">
      <c r="A1160" s="4" t="s">
        <v>35</v>
      </c>
      <c r="B1160" s="4" t="str">
        <f>"2020030902"</f>
        <v>2020030902</v>
      </c>
      <c r="C1160" s="5">
        <v>0</v>
      </c>
      <c r="D1160" s="6">
        <v>0</v>
      </c>
      <c r="E1160" s="7">
        <f t="shared" si="18"/>
        <v>0</v>
      </c>
      <c r="F1160" s="8" t="s">
        <v>8</v>
      </c>
    </row>
    <row r="1161" spans="1:6" ht="18" customHeight="1">
      <c r="A1161" s="4" t="s">
        <v>35</v>
      </c>
      <c r="B1161" s="4" t="str">
        <f>"2020031510"</f>
        <v>2020031510</v>
      </c>
      <c r="C1161" s="5">
        <v>0</v>
      </c>
      <c r="D1161" s="6">
        <v>0</v>
      </c>
      <c r="E1161" s="7">
        <f t="shared" si="18"/>
        <v>0</v>
      </c>
      <c r="F1161" s="8" t="s">
        <v>8</v>
      </c>
    </row>
    <row r="1162" spans="1:6" ht="18" customHeight="1">
      <c r="A1162" s="4" t="s">
        <v>35</v>
      </c>
      <c r="B1162" s="4" t="str">
        <f>"2020031707"</f>
        <v>2020031707</v>
      </c>
      <c r="C1162" s="5">
        <v>0</v>
      </c>
      <c r="D1162" s="6">
        <v>0</v>
      </c>
      <c r="E1162" s="7">
        <f t="shared" si="18"/>
        <v>0</v>
      </c>
      <c r="F1162" s="8" t="s">
        <v>8</v>
      </c>
    </row>
    <row r="1163" spans="1:6" ht="18" customHeight="1">
      <c r="A1163" s="4" t="s">
        <v>35</v>
      </c>
      <c r="B1163" s="4" t="str">
        <f>"2020032724"</f>
        <v>2020032724</v>
      </c>
      <c r="C1163" s="5">
        <v>0</v>
      </c>
      <c r="D1163" s="6">
        <v>0</v>
      </c>
      <c r="E1163" s="7">
        <f t="shared" si="18"/>
        <v>0</v>
      </c>
      <c r="F1163" s="8" t="s">
        <v>8</v>
      </c>
    </row>
    <row r="1164" spans="1:6" ht="18" customHeight="1">
      <c r="A1164" s="4" t="s">
        <v>35</v>
      </c>
      <c r="B1164" s="4" t="str">
        <f>"2020040308"</f>
        <v>2020040308</v>
      </c>
      <c r="C1164" s="5">
        <v>0</v>
      </c>
      <c r="D1164" s="6">
        <v>0</v>
      </c>
      <c r="E1164" s="7">
        <f t="shared" si="18"/>
        <v>0</v>
      </c>
      <c r="F1164" s="8" t="s">
        <v>8</v>
      </c>
    </row>
    <row r="1165" spans="1:6" ht="18" customHeight="1">
      <c r="A1165" s="4" t="s">
        <v>35</v>
      </c>
      <c r="B1165" s="4" t="str">
        <f>"2020040321"</f>
        <v>2020040321</v>
      </c>
      <c r="C1165" s="5">
        <v>0</v>
      </c>
      <c r="D1165" s="6">
        <v>0</v>
      </c>
      <c r="E1165" s="7">
        <f t="shared" si="18"/>
        <v>0</v>
      </c>
      <c r="F1165" s="8" t="s">
        <v>8</v>
      </c>
    </row>
    <row r="1166" spans="1:6" ht="18" customHeight="1">
      <c r="A1166" s="4" t="s">
        <v>35</v>
      </c>
      <c r="B1166" s="4" t="str">
        <f>"2020040504"</f>
        <v>2020040504</v>
      </c>
      <c r="C1166" s="5">
        <v>0</v>
      </c>
      <c r="D1166" s="6">
        <v>0</v>
      </c>
      <c r="E1166" s="7">
        <f t="shared" si="18"/>
        <v>0</v>
      </c>
      <c r="F1166" s="8" t="s">
        <v>8</v>
      </c>
    </row>
    <row r="1167" spans="1:6" ht="18" customHeight="1">
      <c r="A1167" s="4" t="s">
        <v>35</v>
      </c>
      <c r="B1167" s="4" t="str">
        <f>"2020040906"</f>
        <v>2020040906</v>
      </c>
      <c r="C1167" s="5">
        <v>0</v>
      </c>
      <c r="D1167" s="6">
        <v>0</v>
      </c>
      <c r="E1167" s="7">
        <f t="shared" si="18"/>
        <v>0</v>
      </c>
      <c r="F1167" s="8" t="s">
        <v>8</v>
      </c>
    </row>
    <row r="1168" spans="1:6" ht="18" customHeight="1">
      <c r="A1168" s="4" t="s">
        <v>35</v>
      </c>
      <c r="B1168" s="4" t="str">
        <f>"2020042530"</f>
        <v>2020042530</v>
      </c>
      <c r="C1168" s="5">
        <v>0</v>
      </c>
      <c r="D1168" s="6">
        <v>0</v>
      </c>
      <c r="E1168" s="7">
        <f t="shared" si="18"/>
        <v>0</v>
      </c>
      <c r="F1168" s="8" t="s">
        <v>8</v>
      </c>
    </row>
    <row r="1169" spans="1:6" ht="18" customHeight="1">
      <c r="A1169" s="4" t="s">
        <v>35</v>
      </c>
      <c r="B1169" s="4" t="str">
        <f>"2020042822"</f>
        <v>2020042822</v>
      </c>
      <c r="C1169" s="5">
        <v>0</v>
      </c>
      <c r="D1169" s="6">
        <v>0</v>
      </c>
      <c r="E1169" s="7">
        <f t="shared" si="18"/>
        <v>0</v>
      </c>
      <c r="F1169" s="8" t="s">
        <v>8</v>
      </c>
    </row>
    <row r="1170" spans="1:6" ht="18" customHeight="1">
      <c r="A1170" s="4" t="s">
        <v>35</v>
      </c>
      <c r="B1170" s="4" t="str">
        <f>"2020043112"</f>
        <v>2020043112</v>
      </c>
      <c r="C1170" s="5">
        <v>0</v>
      </c>
      <c r="D1170" s="6">
        <v>0</v>
      </c>
      <c r="E1170" s="7">
        <f t="shared" si="18"/>
        <v>0</v>
      </c>
      <c r="F1170" s="8" t="s">
        <v>8</v>
      </c>
    </row>
    <row r="1171" spans="1:6" ht="18" customHeight="1">
      <c r="A1171" s="4" t="s">
        <v>35</v>
      </c>
      <c r="B1171" s="4" t="str">
        <f>"2020043926"</f>
        <v>2020043926</v>
      </c>
      <c r="C1171" s="5">
        <v>0</v>
      </c>
      <c r="D1171" s="6">
        <v>0</v>
      </c>
      <c r="E1171" s="7">
        <f t="shared" si="18"/>
        <v>0</v>
      </c>
      <c r="F1171" s="8" t="s">
        <v>8</v>
      </c>
    </row>
    <row r="1172" spans="1:6" ht="18" customHeight="1">
      <c r="A1172" s="4" t="s">
        <v>35</v>
      </c>
      <c r="B1172" s="4" t="str">
        <f>"2020044726"</f>
        <v>2020044726</v>
      </c>
      <c r="C1172" s="5">
        <v>0</v>
      </c>
      <c r="D1172" s="6">
        <v>0</v>
      </c>
      <c r="E1172" s="7">
        <f t="shared" si="18"/>
        <v>0</v>
      </c>
      <c r="F1172" s="8" t="s">
        <v>8</v>
      </c>
    </row>
    <row r="1173" spans="1:6" ht="18" customHeight="1">
      <c r="A1173" s="4" t="s">
        <v>35</v>
      </c>
      <c r="B1173" s="4" t="str">
        <f>"2020045110"</f>
        <v>2020045110</v>
      </c>
      <c r="C1173" s="5">
        <v>0</v>
      </c>
      <c r="D1173" s="6">
        <v>0</v>
      </c>
      <c r="E1173" s="7">
        <f t="shared" si="18"/>
        <v>0</v>
      </c>
      <c r="F1173" s="8" t="s">
        <v>8</v>
      </c>
    </row>
    <row r="1174" spans="1:6" ht="18" customHeight="1">
      <c r="A1174" s="4" t="s">
        <v>35</v>
      </c>
      <c r="B1174" s="4" t="str">
        <f>"2020047113"</f>
        <v>2020047113</v>
      </c>
      <c r="C1174" s="5">
        <v>0</v>
      </c>
      <c r="D1174" s="6">
        <v>0</v>
      </c>
      <c r="E1174" s="7">
        <f t="shared" si="18"/>
        <v>0</v>
      </c>
      <c r="F1174" s="8" t="s">
        <v>8</v>
      </c>
    </row>
    <row r="1175" spans="1:6" ht="18" customHeight="1">
      <c r="A1175" s="4" t="s">
        <v>37</v>
      </c>
      <c r="B1175" s="4" t="str">
        <f>"2020012016"</f>
        <v>2020012016</v>
      </c>
      <c r="C1175" s="5">
        <v>81.5</v>
      </c>
      <c r="D1175" s="6">
        <v>86</v>
      </c>
      <c r="E1175" s="7">
        <f t="shared" si="18"/>
        <v>167.5</v>
      </c>
      <c r="F1175" s="8"/>
    </row>
    <row r="1176" spans="1:6" ht="18" customHeight="1">
      <c r="A1176" s="4" t="s">
        <v>37</v>
      </c>
      <c r="B1176" s="4" t="str">
        <f>"2020047305"</f>
        <v>2020047305</v>
      </c>
      <c r="C1176" s="5">
        <v>75</v>
      </c>
      <c r="D1176" s="6">
        <v>77.5</v>
      </c>
      <c r="E1176" s="7">
        <f t="shared" si="18"/>
        <v>152.5</v>
      </c>
      <c r="F1176" s="8"/>
    </row>
    <row r="1177" spans="1:6" ht="18" customHeight="1">
      <c r="A1177" s="4" t="s">
        <v>37</v>
      </c>
      <c r="B1177" s="4" t="str">
        <f>"2020045207"</f>
        <v>2020045207</v>
      </c>
      <c r="C1177" s="5">
        <v>70.400000000000006</v>
      </c>
      <c r="D1177" s="6">
        <v>81.5</v>
      </c>
      <c r="E1177" s="7">
        <f t="shared" si="18"/>
        <v>151.9</v>
      </c>
      <c r="F1177" s="8"/>
    </row>
    <row r="1178" spans="1:6" ht="18" customHeight="1">
      <c r="A1178" s="4" t="s">
        <v>37</v>
      </c>
      <c r="B1178" s="4" t="str">
        <f>"2020024626"</f>
        <v>2020024626</v>
      </c>
      <c r="C1178" s="5">
        <v>75.5</v>
      </c>
      <c r="D1178" s="6">
        <v>74.5</v>
      </c>
      <c r="E1178" s="7">
        <f t="shared" si="18"/>
        <v>150</v>
      </c>
      <c r="F1178" s="8"/>
    </row>
    <row r="1179" spans="1:6" ht="18" customHeight="1">
      <c r="A1179" s="4" t="s">
        <v>37</v>
      </c>
      <c r="B1179" s="4" t="str">
        <f>"2020041512"</f>
        <v>2020041512</v>
      </c>
      <c r="C1179" s="5">
        <v>69.099999999999994</v>
      </c>
      <c r="D1179" s="6">
        <v>79.5</v>
      </c>
      <c r="E1179" s="7">
        <f t="shared" si="18"/>
        <v>148.6</v>
      </c>
      <c r="F1179" s="8"/>
    </row>
    <row r="1180" spans="1:6" ht="18" customHeight="1">
      <c r="A1180" s="4" t="s">
        <v>37</v>
      </c>
      <c r="B1180" s="4" t="str">
        <f>"2020045810"</f>
        <v>2020045810</v>
      </c>
      <c r="C1180" s="5">
        <v>69.8</v>
      </c>
      <c r="D1180" s="6">
        <v>77.5</v>
      </c>
      <c r="E1180" s="7">
        <f t="shared" si="18"/>
        <v>147.30000000000001</v>
      </c>
      <c r="F1180" s="8"/>
    </row>
    <row r="1181" spans="1:6" ht="18" customHeight="1">
      <c r="A1181" s="4" t="s">
        <v>37</v>
      </c>
      <c r="B1181" s="4" t="str">
        <f>"2020040721"</f>
        <v>2020040721</v>
      </c>
      <c r="C1181" s="5">
        <v>64</v>
      </c>
      <c r="D1181" s="6">
        <v>83</v>
      </c>
      <c r="E1181" s="7">
        <f t="shared" si="18"/>
        <v>147</v>
      </c>
      <c r="F1181" s="8"/>
    </row>
    <row r="1182" spans="1:6" ht="18" customHeight="1">
      <c r="A1182" s="4" t="s">
        <v>37</v>
      </c>
      <c r="B1182" s="4" t="str">
        <f>"2020042729"</f>
        <v>2020042729</v>
      </c>
      <c r="C1182" s="5">
        <v>75.599999999999994</v>
      </c>
      <c r="D1182" s="6">
        <v>70.5</v>
      </c>
      <c r="E1182" s="7">
        <f t="shared" si="18"/>
        <v>146.1</v>
      </c>
      <c r="F1182" s="8"/>
    </row>
    <row r="1183" spans="1:6" ht="18" customHeight="1">
      <c r="A1183" s="4" t="s">
        <v>37</v>
      </c>
      <c r="B1183" s="4" t="str">
        <f>"2020024119"</f>
        <v>2020024119</v>
      </c>
      <c r="C1183" s="5">
        <v>72.5</v>
      </c>
      <c r="D1183" s="6">
        <v>73.5</v>
      </c>
      <c r="E1183" s="7">
        <f t="shared" si="18"/>
        <v>146</v>
      </c>
      <c r="F1183" s="8"/>
    </row>
    <row r="1184" spans="1:6" ht="18" customHeight="1">
      <c r="A1184" s="4" t="s">
        <v>37</v>
      </c>
      <c r="B1184" s="4" t="str">
        <f>"2020046905"</f>
        <v>2020046905</v>
      </c>
      <c r="C1184" s="5">
        <v>66.5</v>
      </c>
      <c r="D1184" s="6">
        <v>79.5</v>
      </c>
      <c r="E1184" s="7">
        <f t="shared" si="18"/>
        <v>146</v>
      </c>
      <c r="F1184" s="8"/>
    </row>
    <row r="1185" spans="1:6" ht="18" customHeight="1">
      <c r="A1185" s="4" t="s">
        <v>37</v>
      </c>
      <c r="B1185" s="4" t="str">
        <f>"2020020217"</f>
        <v>2020020217</v>
      </c>
      <c r="C1185" s="5">
        <v>69.400000000000006</v>
      </c>
      <c r="D1185" s="6">
        <v>76.5</v>
      </c>
      <c r="E1185" s="7">
        <f t="shared" si="18"/>
        <v>145.9</v>
      </c>
      <c r="F1185" s="8"/>
    </row>
    <row r="1186" spans="1:6" ht="18" customHeight="1">
      <c r="A1186" s="4" t="s">
        <v>37</v>
      </c>
      <c r="B1186" s="4" t="str">
        <f>"2020044916"</f>
        <v>2020044916</v>
      </c>
      <c r="C1186" s="5">
        <v>73.099999999999994</v>
      </c>
      <c r="D1186" s="6">
        <v>72.5</v>
      </c>
      <c r="E1186" s="7">
        <f t="shared" si="18"/>
        <v>145.6</v>
      </c>
      <c r="F1186" s="8"/>
    </row>
    <row r="1187" spans="1:6" ht="18" customHeight="1">
      <c r="A1187" s="4" t="s">
        <v>37</v>
      </c>
      <c r="B1187" s="4" t="str">
        <f>"2020030515"</f>
        <v>2020030515</v>
      </c>
      <c r="C1187" s="5">
        <v>71.5</v>
      </c>
      <c r="D1187" s="6">
        <v>72</v>
      </c>
      <c r="E1187" s="7">
        <f t="shared" si="18"/>
        <v>143.5</v>
      </c>
      <c r="F1187" s="8"/>
    </row>
    <row r="1188" spans="1:6" ht="18" customHeight="1">
      <c r="A1188" s="4" t="s">
        <v>37</v>
      </c>
      <c r="B1188" s="4" t="str">
        <f>"2020032204"</f>
        <v>2020032204</v>
      </c>
      <c r="C1188" s="5">
        <v>66.599999999999994</v>
      </c>
      <c r="D1188" s="6">
        <v>76.5</v>
      </c>
      <c r="E1188" s="7">
        <f t="shared" si="18"/>
        <v>143.1</v>
      </c>
      <c r="F1188" s="8"/>
    </row>
    <row r="1189" spans="1:6" ht="18" customHeight="1">
      <c r="A1189" s="4" t="s">
        <v>37</v>
      </c>
      <c r="B1189" s="4" t="str">
        <f>"2020041724"</f>
        <v>2020041724</v>
      </c>
      <c r="C1189" s="5">
        <v>70.900000000000006</v>
      </c>
      <c r="D1189" s="6">
        <v>72</v>
      </c>
      <c r="E1189" s="7">
        <f t="shared" si="18"/>
        <v>142.9</v>
      </c>
      <c r="F1189" s="8"/>
    </row>
    <row r="1190" spans="1:6" ht="18" customHeight="1">
      <c r="A1190" s="4" t="s">
        <v>37</v>
      </c>
      <c r="B1190" s="4" t="str">
        <f>"2020012108"</f>
        <v>2020012108</v>
      </c>
      <c r="C1190" s="5">
        <v>67.099999999999994</v>
      </c>
      <c r="D1190" s="6">
        <v>75</v>
      </c>
      <c r="E1190" s="7">
        <f t="shared" si="18"/>
        <v>142.1</v>
      </c>
      <c r="F1190" s="8"/>
    </row>
    <row r="1191" spans="1:6" ht="18" customHeight="1">
      <c r="A1191" s="4" t="s">
        <v>37</v>
      </c>
      <c r="B1191" s="4" t="str">
        <f>"2020033729"</f>
        <v>2020033729</v>
      </c>
      <c r="C1191" s="5">
        <v>68.3</v>
      </c>
      <c r="D1191" s="6">
        <v>73.5</v>
      </c>
      <c r="E1191" s="7">
        <f t="shared" si="18"/>
        <v>141.80000000000001</v>
      </c>
      <c r="F1191" s="8"/>
    </row>
    <row r="1192" spans="1:6" ht="18" customHeight="1">
      <c r="A1192" s="4" t="s">
        <v>37</v>
      </c>
      <c r="B1192" s="4" t="str">
        <f>"2020032907"</f>
        <v>2020032907</v>
      </c>
      <c r="C1192" s="5">
        <v>65.8</v>
      </c>
      <c r="D1192" s="6">
        <v>76</v>
      </c>
      <c r="E1192" s="7">
        <f t="shared" si="18"/>
        <v>141.80000000000001</v>
      </c>
      <c r="F1192" s="8"/>
    </row>
    <row r="1193" spans="1:6" ht="18" customHeight="1">
      <c r="A1193" s="4" t="s">
        <v>37</v>
      </c>
      <c r="B1193" s="4" t="str">
        <f>"2020022703"</f>
        <v>2020022703</v>
      </c>
      <c r="C1193" s="5">
        <v>70.2</v>
      </c>
      <c r="D1193" s="6">
        <v>71.5</v>
      </c>
      <c r="E1193" s="7">
        <f t="shared" si="18"/>
        <v>141.69999999999999</v>
      </c>
      <c r="F1193" s="8"/>
    </row>
    <row r="1194" spans="1:6" ht="18" customHeight="1">
      <c r="A1194" s="4" t="s">
        <v>37</v>
      </c>
      <c r="B1194" s="4" t="str">
        <f>"2020031515"</f>
        <v>2020031515</v>
      </c>
      <c r="C1194" s="5">
        <v>69.2</v>
      </c>
      <c r="D1194" s="6">
        <v>71</v>
      </c>
      <c r="E1194" s="7">
        <f t="shared" si="18"/>
        <v>140.19999999999999</v>
      </c>
      <c r="F1194" s="8"/>
    </row>
    <row r="1195" spans="1:6" ht="18" customHeight="1">
      <c r="A1195" s="4" t="s">
        <v>37</v>
      </c>
      <c r="B1195" s="4" t="str">
        <f>"2020012824"</f>
        <v>2020012824</v>
      </c>
      <c r="C1195" s="5">
        <v>68.099999999999994</v>
      </c>
      <c r="D1195" s="6">
        <v>71</v>
      </c>
      <c r="E1195" s="7">
        <f t="shared" si="18"/>
        <v>139.1</v>
      </c>
      <c r="F1195" s="8"/>
    </row>
    <row r="1196" spans="1:6" ht="18" customHeight="1">
      <c r="A1196" s="4" t="s">
        <v>37</v>
      </c>
      <c r="B1196" s="4" t="str">
        <f>"2020030302"</f>
        <v>2020030302</v>
      </c>
      <c r="C1196" s="5">
        <v>70.2</v>
      </c>
      <c r="D1196" s="6">
        <v>66.5</v>
      </c>
      <c r="E1196" s="7">
        <f t="shared" si="18"/>
        <v>136.69999999999999</v>
      </c>
      <c r="F1196" s="8"/>
    </row>
    <row r="1197" spans="1:6" ht="18" customHeight="1">
      <c r="A1197" s="4" t="s">
        <v>37</v>
      </c>
      <c r="B1197" s="4" t="str">
        <f>"2020042212"</f>
        <v>2020042212</v>
      </c>
      <c r="C1197" s="5">
        <v>68.2</v>
      </c>
      <c r="D1197" s="6">
        <v>68.5</v>
      </c>
      <c r="E1197" s="7">
        <f t="shared" si="18"/>
        <v>136.69999999999999</v>
      </c>
      <c r="F1197" s="8"/>
    </row>
    <row r="1198" spans="1:6" ht="18" customHeight="1">
      <c r="A1198" s="4" t="s">
        <v>37</v>
      </c>
      <c r="B1198" s="4" t="str">
        <f>"2020043204"</f>
        <v>2020043204</v>
      </c>
      <c r="C1198" s="5">
        <v>65.7</v>
      </c>
      <c r="D1198" s="6">
        <v>70.5</v>
      </c>
      <c r="E1198" s="7">
        <f t="shared" si="18"/>
        <v>136.19999999999999</v>
      </c>
      <c r="F1198" s="8"/>
    </row>
    <row r="1199" spans="1:6" ht="18" customHeight="1">
      <c r="A1199" s="4" t="s">
        <v>37</v>
      </c>
      <c r="B1199" s="4" t="str">
        <f>"2020045918"</f>
        <v>2020045918</v>
      </c>
      <c r="C1199" s="5">
        <v>63.5</v>
      </c>
      <c r="D1199" s="6">
        <v>72</v>
      </c>
      <c r="E1199" s="7">
        <f t="shared" si="18"/>
        <v>135.5</v>
      </c>
      <c r="F1199" s="8"/>
    </row>
    <row r="1200" spans="1:6" ht="18" customHeight="1">
      <c r="A1200" s="4" t="s">
        <v>37</v>
      </c>
      <c r="B1200" s="4" t="str">
        <f>"2020024121"</f>
        <v>2020024121</v>
      </c>
      <c r="C1200" s="5">
        <v>60.5</v>
      </c>
      <c r="D1200" s="6">
        <v>75</v>
      </c>
      <c r="E1200" s="7">
        <f t="shared" si="18"/>
        <v>135.5</v>
      </c>
      <c r="F1200" s="8"/>
    </row>
    <row r="1201" spans="1:6" ht="18" customHeight="1">
      <c r="A1201" s="4" t="s">
        <v>37</v>
      </c>
      <c r="B1201" s="4" t="str">
        <f>"2020010918"</f>
        <v>2020010918</v>
      </c>
      <c r="C1201" s="5">
        <v>64.099999999999994</v>
      </c>
      <c r="D1201" s="6">
        <v>69</v>
      </c>
      <c r="E1201" s="7">
        <f t="shared" si="18"/>
        <v>133.1</v>
      </c>
      <c r="F1201" s="8"/>
    </row>
    <row r="1202" spans="1:6" ht="18" customHeight="1">
      <c r="A1202" s="4" t="s">
        <v>37</v>
      </c>
      <c r="B1202" s="4" t="str">
        <f>"2020024720"</f>
        <v>2020024720</v>
      </c>
      <c r="C1202" s="5">
        <v>65.400000000000006</v>
      </c>
      <c r="D1202" s="6">
        <v>67.5</v>
      </c>
      <c r="E1202" s="7">
        <f t="shared" si="18"/>
        <v>132.9</v>
      </c>
      <c r="F1202" s="8"/>
    </row>
    <row r="1203" spans="1:6" ht="18" customHeight="1">
      <c r="A1203" s="4" t="s">
        <v>37</v>
      </c>
      <c r="B1203" s="4" t="str">
        <f>"2020030117"</f>
        <v>2020030117</v>
      </c>
      <c r="C1203" s="5">
        <v>73.8</v>
      </c>
      <c r="D1203" s="6">
        <v>59</v>
      </c>
      <c r="E1203" s="7">
        <f t="shared" si="18"/>
        <v>132.80000000000001</v>
      </c>
      <c r="F1203" s="8"/>
    </row>
    <row r="1204" spans="1:6" ht="18" customHeight="1">
      <c r="A1204" s="4" t="s">
        <v>37</v>
      </c>
      <c r="B1204" s="4" t="str">
        <f>"2020024102"</f>
        <v>2020024102</v>
      </c>
      <c r="C1204" s="5">
        <v>66.099999999999994</v>
      </c>
      <c r="D1204" s="6">
        <v>66.5</v>
      </c>
      <c r="E1204" s="7">
        <f t="shared" si="18"/>
        <v>132.6</v>
      </c>
      <c r="F1204" s="8"/>
    </row>
    <row r="1205" spans="1:6" ht="18" customHeight="1">
      <c r="A1205" s="4" t="s">
        <v>37</v>
      </c>
      <c r="B1205" s="4" t="str">
        <f>"2020020918"</f>
        <v>2020020918</v>
      </c>
      <c r="C1205" s="5">
        <v>63.4</v>
      </c>
      <c r="D1205" s="6">
        <v>67.5</v>
      </c>
      <c r="E1205" s="7">
        <f t="shared" si="18"/>
        <v>130.9</v>
      </c>
      <c r="F1205" s="8"/>
    </row>
    <row r="1206" spans="1:6" ht="18" customHeight="1">
      <c r="A1206" s="4" t="s">
        <v>37</v>
      </c>
      <c r="B1206" s="4" t="str">
        <f>"2020010329"</f>
        <v>2020010329</v>
      </c>
      <c r="C1206" s="5">
        <v>66.400000000000006</v>
      </c>
      <c r="D1206" s="6">
        <v>63</v>
      </c>
      <c r="E1206" s="7">
        <f t="shared" si="18"/>
        <v>129.4</v>
      </c>
      <c r="F1206" s="8"/>
    </row>
    <row r="1207" spans="1:6" ht="18" customHeight="1">
      <c r="A1207" s="4" t="s">
        <v>37</v>
      </c>
      <c r="B1207" s="4" t="str">
        <f>"2020044917"</f>
        <v>2020044917</v>
      </c>
      <c r="C1207" s="5">
        <v>58.9</v>
      </c>
      <c r="D1207" s="6">
        <v>70.5</v>
      </c>
      <c r="E1207" s="7">
        <f t="shared" si="18"/>
        <v>129.4</v>
      </c>
      <c r="F1207" s="8"/>
    </row>
    <row r="1208" spans="1:6" ht="18" customHeight="1">
      <c r="A1208" s="4" t="s">
        <v>37</v>
      </c>
      <c r="B1208" s="4" t="str">
        <f>"2020013908"</f>
        <v>2020013908</v>
      </c>
      <c r="C1208" s="5">
        <v>65.900000000000006</v>
      </c>
      <c r="D1208" s="6">
        <v>62.5</v>
      </c>
      <c r="E1208" s="7">
        <f t="shared" si="18"/>
        <v>128.4</v>
      </c>
      <c r="F1208" s="8"/>
    </row>
    <row r="1209" spans="1:6" ht="18" customHeight="1">
      <c r="A1209" s="4" t="s">
        <v>37</v>
      </c>
      <c r="B1209" s="4" t="str">
        <f>"2020032920"</f>
        <v>2020032920</v>
      </c>
      <c r="C1209" s="5">
        <v>67.3</v>
      </c>
      <c r="D1209" s="6">
        <v>61</v>
      </c>
      <c r="E1209" s="7">
        <f t="shared" si="18"/>
        <v>128.30000000000001</v>
      </c>
      <c r="F1209" s="8"/>
    </row>
    <row r="1210" spans="1:6" ht="18" customHeight="1">
      <c r="A1210" s="4" t="s">
        <v>37</v>
      </c>
      <c r="B1210" s="4" t="str">
        <f>"2020023727"</f>
        <v>2020023727</v>
      </c>
      <c r="C1210" s="5">
        <v>67.900000000000006</v>
      </c>
      <c r="D1210" s="6">
        <v>57</v>
      </c>
      <c r="E1210" s="7">
        <f t="shared" si="18"/>
        <v>124.9</v>
      </c>
      <c r="F1210" s="8"/>
    </row>
    <row r="1211" spans="1:6" ht="18" customHeight="1">
      <c r="A1211" s="4" t="s">
        <v>37</v>
      </c>
      <c r="B1211" s="4" t="str">
        <f>"2020020426"</f>
        <v>2020020426</v>
      </c>
      <c r="C1211" s="5">
        <v>69.400000000000006</v>
      </c>
      <c r="D1211" s="6">
        <v>55</v>
      </c>
      <c r="E1211" s="7">
        <f t="shared" si="18"/>
        <v>124.4</v>
      </c>
      <c r="F1211" s="8"/>
    </row>
    <row r="1212" spans="1:6" ht="18" customHeight="1">
      <c r="A1212" s="4" t="s">
        <v>37</v>
      </c>
      <c r="B1212" s="4" t="str">
        <f>"2020032501"</f>
        <v>2020032501</v>
      </c>
      <c r="C1212" s="5">
        <v>63.5</v>
      </c>
      <c r="D1212" s="6">
        <v>58</v>
      </c>
      <c r="E1212" s="7">
        <f t="shared" si="18"/>
        <v>121.5</v>
      </c>
      <c r="F1212" s="8"/>
    </row>
    <row r="1213" spans="1:6" ht="18" customHeight="1">
      <c r="A1213" s="4" t="s">
        <v>37</v>
      </c>
      <c r="B1213" s="4" t="str">
        <f>"2020022429"</f>
        <v>2020022429</v>
      </c>
      <c r="C1213" s="5">
        <v>57.9</v>
      </c>
      <c r="D1213" s="6">
        <v>63.5</v>
      </c>
      <c r="E1213" s="7">
        <f t="shared" si="18"/>
        <v>121.4</v>
      </c>
      <c r="F1213" s="8"/>
    </row>
    <row r="1214" spans="1:6" ht="18" customHeight="1">
      <c r="A1214" s="4" t="s">
        <v>37</v>
      </c>
      <c r="B1214" s="4" t="str">
        <f>"2020031309"</f>
        <v>2020031309</v>
      </c>
      <c r="C1214" s="5">
        <v>56.7</v>
      </c>
      <c r="D1214" s="6">
        <v>64.5</v>
      </c>
      <c r="E1214" s="7">
        <f t="shared" si="18"/>
        <v>121.2</v>
      </c>
      <c r="F1214" s="8"/>
    </row>
    <row r="1215" spans="1:6" ht="18" customHeight="1">
      <c r="A1215" s="4" t="s">
        <v>37</v>
      </c>
      <c r="B1215" s="4" t="str">
        <f>"2020022425"</f>
        <v>2020022425</v>
      </c>
      <c r="C1215" s="5">
        <v>60.5</v>
      </c>
      <c r="D1215" s="6">
        <v>60</v>
      </c>
      <c r="E1215" s="7">
        <f t="shared" si="18"/>
        <v>120.5</v>
      </c>
      <c r="F1215" s="8"/>
    </row>
    <row r="1216" spans="1:6" ht="18" customHeight="1">
      <c r="A1216" s="4" t="s">
        <v>37</v>
      </c>
      <c r="B1216" s="4" t="str">
        <f>"2020033513"</f>
        <v>2020033513</v>
      </c>
      <c r="C1216" s="5">
        <v>55.4</v>
      </c>
      <c r="D1216" s="6">
        <v>57.5</v>
      </c>
      <c r="E1216" s="7">
        <f t="shared" si="18"/>
        <v>112.9</v>
      </c>
      <c r="F1216" s="8"/>
    </row>
    <row r="1217" spans="1:6" ht="18" customHeight="1">
      <c r="A1217" s="4" t="s">
        <v>37</v>
      </c>
      <c r="B1217" s="4" t="str">
        <f>"2020012726"</f>
        <v>2020012726</v>
      </c>
      <c r="C1217" s="5">
        <v>54.6</v>
      </c>
      <c r="D1217" s="6">
        <v>56</v>
      </c>
      <c r="E1217" s="7">
        <f t="shared" si="18"/>
        <v>110.6</v>
      </c>
      <c r="F1217" s="8"/>
    </row>
    <row r="1218" spans="1:6" ht="18" customHeight="1">
      <c r="A1218" s="4" t="s">
        <v>37</v>
      </c>
      <c r="B1218" s="4" t="str">
        <f>"2020033003"</f>
        <v>2020033003</v>
      </c>
      <c r="C1218" s="5">
        <v>55.7</v>
      </c>
      <c r="D1218" s="6">
        <v>48.5</v>
      </c>
      <c r="E1218" s="7">
        <f t="shared" si="18"/>
        <v>104.2</v>
      </c>
      <c r="F1218" s="8"/>
    </row>
    <row r="1219" spans="1:6" ht="18" customHeight="1">
      <c r="A1219" s="4" t="s">
        <v>37</v>
      </c>
      <c r="B1219" s="4" t="str">
        <f>"2020011723"</f>
        <v>2020011723</v>
      </c>
      <c r="C1219" s="5">
        <v>44.5</v>
      </c>
      <c r="D1219" s="6">
        <v>54.5</v>
      </c>
      <c r="E1219" s="7">
        <f t="shared" ref="E1219:E1282" si="19">SUM(C1219:D1219)</f>
        <v>99</v>
      </c>
      <c r="F1219" s="8"/>
    </row>
    <row r="1220" spans="1:6" ht="18" customHeight="1">
      <c r="A1220" s="4" t="s">
        <v>37</v>
      </c>
      <c r="B1220" s="4" t="str">
        <f>"2020013926"</f>
        <v>2020013926</v>
      </c>
      <c r="C1220" s="5">
        <v>0</v>
      </c>
      <c r="D1220" s="6">
        <v>0</v>
      </c>
      <c r="E1220" s="7">
        <f t="shared" si="19"/>
        <v>0</v>
      </c>
      <c r="F1220" s="9" t="s">
        <v>8</v>
      </c>
    </row>
    <row r="1221" spans="1:6" ht="18" customHeight="1">
      <c r="A1221" s="4" t="s">
        <v>37</v>
      </c>
      <c r="B1221" s="4" t="str">
        <f>"2020021026"</f>
        <v>2020021026</v>
      </c>
      <c r="C1221" s="5">
        <v>0</v>
      </c>
      <c r="D1221" s="6">
        <v>0</v>
      </c>
      <c r="E1221" s="7">
        <f t="shared" si="19"/>
        <v>0</v>
      </c>
      <c r="F1221" s="8" t="s">
        <v>8</v>
      </c>
    </row>
    <row r="1222" spans="1:6" ht="18" customHeight="1">
      <c r="A1222" s="4" t="s">
        <v>37</v>
      </c>
      <c r="B1222" s="4" t="str">
        <f>"2020021115"</f>
        <v>2020021115</v>
      </c>
      <c r="C1222" s="5">
        <v>0</v>
      </c>
      <c r="D1222" s="6">
        <v>0</v>
      </c>
      <c r="E1222" s="7">
        <f t="shared" si="19"/>
        <v>0</v>
      </c>
      <c r="F1222" s="8" t="s">
        <v>8</v>
      </c>
    </row>
    <row r="1223" spans="1:6" ht="18" customHeight="1">
      <c r="A1223" s="4" t="s">
        <v>37</v>
      </c>
      <c r="B1223" s="4" t="str">
        <f>"2020021224"</f>
        <v>2020021224</v>
      </c>
      <c r="C1223" s="5">
        <v>0</v>
      </c>
      <c r="D1223" s="6">
        <v>0</v>
      </c>
      <c r="E1223" s="7">
        <f t="shared" si="19"/>
        <v>0</v>
      </c>
      <c r="F1223" s="8" t="s">
        <v>8</v>
      </c>
    </row>
    <row r="1224" spans="1:6" ht="18" customHeight="1">
      <c r="A1224" s="4" t="s">
        <v>37</v>
      </c>
      <c r="B1224" s="4" t="str">
        <f>"2020022127"</f>
        <v>2020022127</v>
      </c>
      <c r="C1224" s="5">
        <v>0</v>
      </c>
      <c r="D1224" s="6">
        <v>0</v>
      </c>
      <c r="E1224" s="7">
        <f t="shared" si="19"/>
        <v>0</v>
      </c>
      <c r="F1224" s="8" t="s">
        <v>8</v>
      </c>
    </row>
    <row r="1225" spans="1:6" ht="18" customHeight="1">
      <c r="A1225" s="4" t="s">
        <v>37</v>
      </c>
      <c r="B1225" s="4" t="str">
        <f>"2020024716"</f>
        <v>2020024716</v>
      </c>
      <c r="C1225" s="5">
        <v>0</v>
      </c>
      <c r="D1225" s="6">
        <v>0</v>
      </c>
      <c r="E1225" s="7">
        <f t="shared" si="19"/>
        <v>0</v>
      </c>
      <c r="F1225" s="8" t="s">
        <v>8</v>
      </c>
    </row>
    <row r="1226" spans="1:6" ht="18" customHeight="1">
      <c r="A1226" s="4" t="s">
        <v>37</v>
      </c>
      <c r="B1226" s="4" t="str">
        <f>"2020030212"</f>
        <v>2020030212</v>
      </c>
      <c r="C1226" s="5">
        <v>0</v>
      </c>
      <c r="D1226" s="6">
        <v>0</v>
      </c>
      <c r="E1226" s="7">
        <f t="shared" si="19"/>
        <v>0</v>
      </c>
      <c r="F1226" s="8" t="s">
        <v>8</v>
      </c>
    </row>
    <row r="1227" spans="1:6" ht="18" customHeight="1">
      <c r="A1227" s="4" t="s">
        <v>37</v>
      </c>
      <c r="B1227" s="4" t="str">
        <f>"2020030625"</f>
        <v>2020030625</v>
      </c>
      <c r="C1227" s="5">
        <v>0</v>
      </c>
      <c r="D1227" s="6">
        <v>0</v>
      </c>
      <c r="E1227" s="7">
        <f t="shared" si="19"/>
        <v>0</v>
      </c>
      <c r="F1227" s="8" t="s">
        <v>8</v>
      </c>
    </row>
    <row r="1228" spans="1:6" ht="18" customHeight="1">
      <c r="A1228" s="4" t="s">
        <v>37</v>
      </c>
      <c r="B1228" s="4" t="str">
        <f>"2020032608"</f>
        <v>2020032608</v>
      </c>
      <c r="C1228" s="5">
        <v>0</v>
      </c>
      <c r="D1228" s="6">
        <v>0</v>
      </c>
      <c r="E1228" s="7">
        <f t="shared" si="19"/>
        <v>0</v>
      </c>
      <c r="F1228" s="8" t="s">
        <v>8</v>
      </c>
    </row>
    <row r="1229" spans="1:6" ht="18" customHeight="1">
      <c r="A1229" s="4" t="s">
        <v>37</v>
      </c>
      <c r="B1229" s="4" t="str">
        <f>"2020033403"</f>
        <v>2020033403</v>
      </c>
      <c r="C1229" s="5">
        <v>0</v>
      </c>
      <c r="D1229" s="6">
        <v>0</v>
      </c>
      <c r="E1229" s="7">
        <f t="shared" si="19"/>
        <v>0</v>
      </c>
      <c r="F1229" s="8" t="s">
        <v>8</v>
      </c>
    </row>
    <row r="1230" spans="1:6" ht="18" customHeight="1">
      <c r="A1230" s="4" t="s">
        <v>37</v>
      </c>
      <c r="B1230" s="4" t="str">
        <f>"2020040221"</f>
        <v>2020040221</v>
      </c>
      <c r="C1230" s="5">
        <v>0</v>
      </c>
      <c r="D1230" s="6">
        <v>0</v>
      </c>
      <c r="E1230" s="7">
        <f t="shared" si="19"/>
        <v>0</v>
      </c>
      <c r="F1230" s="8" t="s">
        <v>8</v>
      </c>
    </row>
    <row r="1231" spans="1:6" ht="18" customHeight="1">
      <c r="A1231" s="4" t="s">
        <v>37</v>
      </c>
      <c r="B1231" s="4" t="str">
        <f>"2020043022"</f>
        <v>2020043022</v>
      </c>
      <c r="C1231" s="5">
        <v>0</v>
      </c>
      <c r="D1231" s="6">
        <v>0</v>
      </c>
      <c r="E1231" s="7">
        <f t="shared" si="19"/>
        <v>0</v>
      </c>
      <c r="F1231" s="8" t="s">
        <v>8</v>
      </c>
    </row>
    <row r="1232" spans="1:6" ht="18" customHeight="1">
      <c r="A1232" s="4" t="s">
        <v>37</v>
      </c>
      <c r="B1232" s="4" t="str">
        <f>"2020044428"</f>
        <v>2020044428</v>
      </c>
      <c r="C1232" s="5">
        <v>0</v>
      </c>
      <c r="D1232" s="6">
        <v>0</v>
      </c>
      <c r="E1232" s="7">
        <f t="shared" si="19"/>
        <v>0</v>
      </c>
      <c r="F1232" s="8" t="s">
        <v>8</v>
      </c>
    </row>
    <row r="1233" spans="1:6" ht="18" customHeight="1">
      <c r="A1233" s="4" t="s">
        <v>37</v>
      </c>
      <c r="B1233" s="4" t="str">
        <f>"2020046221"</f>
        <v>2020046221</v>
      </c>
      <c r="C1233" s="5">
        <v>0</v>
      </c>
      <c r="D1233" s="6">
        <v>0</v>
      </c>
      <c r="E1233" s="7">
        <f t="shared" si="19"/>
        <v>0</v>
      </c>
      <c r="F1233" s="8" t="s">
        <v>8</v>
      </c>
    </row>
    <row r="1234" spans="1:6" ht="18" customHeight="1">
      <c r="A1234" s="4" t="s">
        <v>37</v>
      </c>
      <c r="B1234" s="4" t="str">
        <f>"2020047619"</f>
        <v>2020047619</v>
      </c>
      <c r="C1234" s="5">
        <v>0</v>
      </c>
      <c r="D1234" s="6">
        <v>0</v>
      </c>
      <c r="E1234" s="7">
        <f t="shared" si="19"/>
        <v>0</v>
      </c>
      <c r="F1234" s="8" t="s">
        <v>8</v>
      </c>
    </row>
    <row r="1235" spans="1:6" ht="18" customHeight="1">
      <c r="A1235" s="4" t="s">
        <v>38</v>
      </c>
      <c r="B1235" s="4" t="str">
        <f>"2020022116"</f>
        <v>2020022116</v>
      </c>
      <c r="C1235" s="5">
        <v>77.900000000000006</v>
      </c>
      <c r="D1235" s="6">
        <v>84.5</v>
      </c>
      <c r="E1235" s="7">
        <f t="shared" si="19"/>
        <v>162.4</v>
      </c>
      <c r="F1235" s="8"/>
    </row>
    <row r="1236" spans="1:6" ht="18" customHeight="1">
      <c r="A1236" s="4" t="s">
        <v>38</v>
      </c>
      <c r="B1236" s="4" t="str">
        <f>"2020021124"</f>
        <v>2020021124</v>
      </c>
      <c r="C1236" s="5">
        <v>76.5</v>
      </c>
      <c r="D1236" s="6">
        <v>81.5</v>
      </c>
      <c r="E1236" s="7">
        <f t="shared" si="19"/>
        <v>158</v>
      </c>
      <c r="F1236" s="8"/>
    </row>
    <row r="1237" spans="1:6" ht="18" customHeight="1">
      <c r="A1237" s="4" t="s">
        <v>38</v>
      </c>
      <c r="B1237" s="4" t="str">
        <f>"2020021127"</f>
        <v>2020021127</v>
      </c>
      <c r="C1237" s="5">
        <v>76.099999999999994</v>
      </c>
      <c r="D1237" s="6">
        <v>80</v>
      </c>
      <c r="E1237" s="7">
        <f t="shared" si="19"/>
        <v>156.1</v>
      </c>
      <c r="F1237" s="8"/>
    </row>
    <row r="1238" spans="1:6" ht="18" customHeight="1">
      <c r="A1238" s="4" t="s">
        <v>38</v>
      </c>
      <c r="B1238" s="4" t="str">
        <f>"2020043311"</f>
        <v>2020043311</v>
      </c>
      <c r="C1238" s="5">
        <v>78</v>
      </c>
      <c r="D1238" s="6">
        <v>78</v>
      </c>
      <c r="E1238" s="7">
        <f t="shared" si="19"/>
        <v>156</v>
      </c>
      <c r="F1238" s="8"/>
    </row>
    <row r="1239" spans="1:6" ht="18" customHeight="1">
      <c r="A1239" s="4" t="s">
        <v>38</v>
      </c>
      <c r="B1239" s="4" t="str">
        <f>"2020013522"</f>
        <v>2020013522</v>
      </c>
      <c r="C1239" s="5">
        <v>77.7</v>
      </c>
      <c r="D1239" s="6">
        <v>76.5</v>
      </c>
      <c r="E1239" s="7">
        <f t="shared" si="19"/>
        <v>154.19999999999999</v>
      </c>
      <c r="F1239" s="8"/>
    </row>
    <row r="1240" spans="1:6" ht="18" customHeight="1">
      <c r="A1240" s="4" t="s">
        <v>38</v>
      </c>
      <c r="B1240" s="4" t="str">
        <f>"2020040526"</f>
        <v>2020040526</v>
      </c>
      <c r="C1240" s="5">
        <v>70.599999999999994</v>
      </c>
      <c r="D1240" s="6">
        <v>82.5</v>
      </c>
      <c r="E1240" s="7">
        <f t="shared" si="19"/>
        <v>153.1</v>
      </c>
      <c r="F1240" s="8"/>
    </row>
    <row r="1241" spans="1:6" ht="18" customHeight="1">
      <c r="A1241" s="4" t="s">
        <v>38</v>
      </c>
      <c r="B1241" s="4" t="str">
        <f>"2020033601"</f>
        <v>2020033601</v>
      </c>
      <c r="C1241" s="5">
        <v>73.7</v>
      </c>
      <c r="D1241" s="6">
        <v>77.5</v>
      </c>
      <c r="E1241" s="7">
        <f t="shared" si="19"/>
        <v>151.19999999999999</v>
      </c>
      <c r="F1241" s="8"/>
    </row>
    <row r="1242" spans="1:6" ht="18" customHeight="1">
      <c r="A1242" s="4" t="s">
        <v>38</v>
      </c>
      <c r="B1242" s="4" t="str">
        <f>"2020011914"</f>
        <v>2020011914</v>
      </c>
      <c r="C1242" s="5">
        <v>68.400000000000006</v>
      </c>
      <c r="D1242" s="6">
        <v>82</v>
      </c>
      <c r="E1242" s="7">
        <f t="shared" si="19"/>
        <v>150.4</v>
      </c>
      <c r="F1242" s="8"/>
    </row>
    <row r="1243" spans="1:6" ht="18" customHeight="1">
      <c r="A1243" s="4" t="s">
        <v>38</v>
      </c>
      <c r="B1243" s="4" t="str">
        <f>"2020030213"</f>
        <v>2020030213</v>
      </c>
      <c r="C1243" s="5">
        <v>73.099999999999994</v>
      </c>
      <c r="D1243" s="6">
        <v>73.5</v>
      </c>
      <c r="E1243" s="7">
        <f t="shared" si="19"/>
        <v>146.6</v>
      </c>
      <c r="F1243" s="8"/>
    </row>
    <row r="1244" spans="1:6" ht="18" customHeight="1">
      <c r="A1244" s="4" t="s">
        <v>38</v>
      </c>
      <c r="B1244" s="4" t="str">
        <f>"2020045114"</f>
        <v>2020045114</v>
      </c>
      <c r="C1244" s="5">
        <v>67.2</v>
      </c>
      <c r="D1244" s="6">
        <v>79</v>
      </c>
      <c r="E1244" s="7">
        <f t="shared" si="19"/>
        <v>146.19999999999999</v>
      </c>
      <c r="F1244" s="8"/>
    </row>
    <row r="1245" spans="1:6" ht="18" customHeight="1">
      <c r="A1245" s="4" t="s">
        <v>38</v>
      </c>
      <c r="B1245" s="4" t="str">
        <f>"2020033722"</f>
        <v>2020033722</v>
      </c>
      <c r="C1245" s="5">
        <v>68.900000000000006</v>
      </c>
      <c r="D1245" s="6">
        <v>76</v>
      </c>
      <c r="E1245" s="7">
        <f t="shared" si="19"/>
        <v>144.9</v>
      </c>
      <c r="F1245" s="8"/>
    </row>
    <row r="1246" spans="1:6" ht="18" customHeight="1">
      <c r="A1246" s="4" t="s">
        <v>38</v>
      </c>
      <c r="B1246" s="4" t="str">
        <f>"2020031426"</f>
        <v>2020031426</v>
      </c>
      <c r="C1246" s="5">
        <v>70.400000000000006</v>
      </c>
      <c r="D1246" s="6">
        <v>74</v>
      </c>
      <c r="E1246" s="7">
        <f t="shared" si="19"/>
        <v>144.4</v>
      </c>
      <c r="F1246" s="8"/>
    </row>
    <row r="1247" spans="1:6" ht="18" customHeight="1">
      <c r="A1247" s="4" t="s">
        <v>38</v>
      </c>
      <c r="B1247" s="4" t="str">
        <f>"2020043821"</f>
        <v>2020043821</v>
      </c>
      <c r="C1247" s="5">
        <v>75.599999999999994</v>
      </c>
      <c r="D1247" s="6">
        <v>68.5</v>
      </c>
      <c r="E1247" s="7">
        <f t="shared" si="19"/>
        <v>144.1</v>
      </c>
      <c r="F1247" s="8"/>
    </row>
    <row r="1248" spans="1:6" ht="18" customHeight="1">
      <c r="A1248" s="4" t="s">
        <v>38</v>
      </c>
      <c r="B1248" s="4" t="str">
        <f>"2020045403"</f>
        <v>2020045403</v>
      </c>
      <c r="C1248" s="5">
        <v>71.099999999999994</v>
      </c>
      <c r="D1248" s="6">
        <v>73</v>
      </c>
      <c r="E1248" s="7">
        <f t="shared" si="19"/>
        <v>144.1</v>
      </c>
      <c r="F1248" s="8"/>
    </row>
    <row r="1249" spans="1:6" ht="18" customHeight="1">
      <c r="A1249" s="4" t="s">
        <v>38</v>
      </c>
      <c r="B1249" s="4" t="str">
        <f>"2020033225"</f>
        <v>2020033225</v>
      </c>
      <c r="C1249" s="5">
        <v>62.6</v>
      </c>
      <c r="D1249" s="6">
        <v>81</v>
      </c>
      <c r="E1249" s="7">
        <f t="shared" si="19"/>
        <v>143.6</v>
      </c>
      <c r="F1249" s="8"/>
    </row>
    <row r="1250" spans="1:6" ht="18" customHeight="1">
      <c r="A1250" s="4" t="s">
        <v>38</v>
      </c>
      <c r="B1250" s="4" t="str">
        <f>"2020013827"</f>
        <v>2020013827</v>
      </c>
      <c r="C1250" s="5">
        <v>67.3</v>
      </c>
      <c r="D1250" s="6">
        <v>76</v>
      </c>
      <c r="E1250" s="7">
        <f t="shared" si="19"/>
        <v>143.30000000000001</v>
      </c>
      <c r="F1250" s="8"/>
    </row>
    <row r="1251" spans="1:6" ht="18" customHeight="1">
      <c r="A1251" s="4" t="s">
        <v>38</v>
      </c>
      <c r="B1251" s="4" t="str">
        <f>"2020010402"</f>
        <v>2020010402</v>
      </c>
      <c r="C1251" s="5">
        <v>68.099999999999994</v>
      </c>
      <c r="D1251" s="6">
        <v>73.5</v>
      </c>
      <c r="E1251" s="7">
        <f t="shared" si="19"/>
        <v>141.6</v>
      </c>
      <c r="F1251" s="8"/>
    </row>
    <row r="1252" spans="1:6" ht="18" customHeight="1">
      <c r="A1252" s="4" t="s">
        <v>38</v>
      </c>
      <c r="B1252" s="4" t="str">
        <f>"2020011707"</f>
        <v>2020011707</v>
      </c>
      <c r="C1252" s="5">
        <v>73</v>
      </c>
      <c r="D1252" s="6">
        <v>68.5</v>
      </c>
      <c r="E1252" s="7">
        <f t="shared" si="19"/>
        <v>141.5</v>
      </c>
      <c r="F1252" s="8"/>
    </row>
    <row r="1253" spans="1:6" ht="18" customHeight="1">
      <c r="A1253" s="4" t="s">
        <v>38</v>
      </c>
      <c r="B1253" s="4" t="str">
        <f>"2020040825"</f>
        <v>2020040825</v>
      </c>
      <c r="C1253" s="5">
        <v>67.400000000000006</v>
      </c>
      <c r="D1253" s="6">
        <v>73.5</v>
      </c>
      <c r="E1253" s="7">
        <f t="shared" si="19"/>
        <v>140.9</v>
      </c>
      <c r="F1253" s="8"/>
    </row>
    <row r="1254" spans="1:6" ht="18" customHeight="1">
      <c r="A1254" s="4" t="s">
        <v>38</v>
      </c>
      <c r="B1254" s="4" t="str">
        <f>"2020010315"</f>
        <v>2020010315</v>
      </c>
      <c r="C1254" s="5">
        <v>65.2</v>
      </c>
      <c r="D1254" s="6">
        <v>74</v>
      </c>
      <c r="E1254" s="7">
        <f t="shared" si="19"/>
        <v>139.19999999999999</v>
      </c>
      <c r="F1254" s="8"/>
    </row>
    <row r="1255" spans="1:6" ht="18" customHeight="1">
      <c r="A1255" s="4" t="s">
        <v>38</v>
      </c>
      <c r="B1255" s="4" t="str">
        <f>"2020046028"</f>
        <v>2020046028</v>
      </c>
      <c r="C1255" s="5">
        <v>70.3</v>
      </c>
      <c r="D1255" s="6">
        <v>68.5</v>
      </c>
      <c r="E1255" s="7">
        <f t="shared" si="19"/>
        <v>138.80000000000001</v>
      </c>
      <c r="F1255" s="8"/>
    </row>
    <row r="1256" spans="1:6" ht="18" customHeight="1">
      <c r="A1256" s="4" t="s">
        <v>38</v>
      </c>
      <c r="B1256" s="4" t="str">
        <f>"2020042923"</f>
        <v>2020042923</v>
      </c>
      <c r="C1256" s="5">
        <v>64.8</v>
      </c>
      <c r="D1256" s="6">
        <v>74</v>
      </c>
      <c r="E1256" s="7">
        <f t="shared" si="19"/>
        <v>138.80000000000001</v>
      </c>
      <c r="F1256" s="8"/>
    </row>
    <row r="1257" spans="1:6" ht="18" customHeight="1">
      <c r="A1257" s="4" t="s">
        <v>38</v>
      </c>
      <c r="B1257" s="4" t="str">
        <f>"2020012517"</f>
        <v>2020012517</v>
      </c>
      <c r="C1257" s="5">
        <v>65.900000000000006</v>
      </c>
      <c r="D1257" s="6">
        <v>72.5</v>
      </c>
      <c r="E1257" s="7">
        <f t="shared" si="19"/>
        <v>138.4</v>
      </c>
      <c r="F1257" s="8"/>
    </row>
    <row r="1258" spans="1:6" ht="18" customHeight="1">
      <c r="A1258" s="4" t="s">
        <v>38</v>
      </c>
      <c r="B1258" s="4" t="str">
        <f>"2020045323"</f>
        <v>2020045323</v>
      </c>
      <c r="C1258" s="5">
        <v>70.2</v>
      </c>
      <c r="D1258" s="6">
        <v>65.5</v>
      </c>
      <c r="E1258" s="7">
        <f t="shared" si="19"/>
        <v>135.69999999999999</v>
      </c>
      <c r="F1258" s="8"/>
    </row>
    <row r="1259" spans="1:6" ht="18" customHeight="1">
      <c r="A1259" s="4" t="s">
        <v>38</v>
      </c>
      <c r="B1259" s="4" t="str">
        <f>"2020033616"</f>
        <v>2020033616</v>
      </c>
      <c r="C1259" s="5">
        <v>68.900000000000006</v>
      </c>
      <c r="D1259" s="6">
        <v>66.5</v>
      </c>
      <c r="E1259" s="7">
        <f t="shared" si="19"/>
        <v>135.4</v>
      </c>
      <c r="F1259" s="8"/>
    </row>
    <row r="1260" spans="1:6" ht="18" customHeight="1">
      <c r="A1260" s="4" t="s">
        <v>38</v>
      </c>
      <c r="B1260" s="4" t="str">
        <f>"2020047222"</f>
        <v>2020047222</v>
      </c>
      <c r="C1260" s="5">
        <v>70.3</v>
      </c>
      <c r="D1260" s="6">
        <v>65</v>
      </c>
      <c r="E1260" s="7">
        <f t="shared" si="19"/>
        <v>135.30000000000001</v>
      </c>
      <c r="F1260" s="8"/>
    </row>
    <row r="1261" spans="1:6" ht="18" customHeight="1">
      <c r="A1261" s="4" t="s">
        <v>38</v>
      </c>
      <c r="B1261" s="4" t="str">
        <f>"2020022028"</f>
        <v>2020022028</v>
      </c>
      <c r="C1261" s="5">
        <v>66.5</v>
      </c>
      <c r="D1261" s="6">
        <v>68</v>
      </c>
      <c r="E1261" s="7">
        <f t="shared" si="19"/>
        <v>134.5</v>
      </c>
      <c r="F1261" s="8"/>
    </row>
    <row r="1262" spans="1:6" ht="18" customHeight="1">
      <c r="A1262" s="4" t="s">
        <v>38</v>
      </c>
      <c r="B1262" s="4" t="str">
        <f>"2020021708"</f>
        <v>2020021708</v>
      </c>
      <c r="C1262" s="5">
        <v>71.099999999999994</v>
      </c>
      <c r="D1262" s="6">
        <v>61.5</v>
      </c>
      <c r="E1262" s="7">
        <f t="shared" si="19"/>
        <v>132.6</v>
      </c>
      <c r="F1262" s="8"/>
    </row>
    <row r="1263" spans="1:6" ht="18" customHeight="1">
      <c r="A1263" s="4" t="s">
        <v>38</v>
      </c>
      <c r="B1263" s="4" t="str">
        <f>"2020010608"</f>
        <v>2020010608</v>
      </c>
      <c r="C1263" s="5">
        <v>73.7</v>
      </c>
      <c r="D1263" s="6">
        <v>56</v>
      </c>
      <c r="E1263" s="7">
        <f t="shared" si="19"/>
        <v>129.69999999999999</v>
      </c>
      <c r="F1263" s="8"/>
    </row>
    <row r="1264" spans="1:6" ht="18" customHeight="1">
      <c r="A1264" s="4" t="s">
        <v>38</v>
      </c>
      <c r="B1264" s="4" t="str">
        <f>"2020045003"</f>
        <v>2020045003</v>
      </c>
      <c r="C1264" s="5">
        <v>65.7</v>
      </c>
      <c r="D1264" s="6">
        <v>62.5</v>
      </c>
      <c r="E1264" s="7">
        <f t="shared" si="19"/>
        <v>128.19999999999999</v>
      </c>
      <c r="F1264" s="8"/>
    </row>
    <row r="1265" spans="1:6" ht="18" customHeight="1">
      <c r="A1265" s="4" t="s">
        <v>38</v>
      </c>
      <c r="B1265" s="4" t="str">
        <f>"2020031322"</f>
        <v>2020031322</v>
      </c>
      <c r="C1265" s="5">
        <v>69.599999999999994</v>
      </c>
      <c r="D1265" s="6">
        <v>58.5</v>
      </c>
      <c r="E1265" s="7">
        <f t="shared" si="19"/>
        <v>128.1</v>
      </c>
      <c r="F1265" s="8"/>
    </row>
    <row r="1266" spans="1:6" ht="18" customHeight="1">
      <c r="A1266" s="4" t="s">
        <v>38</v>
      </c>
      <c r="B1266" s="4" t="str">
        <f>"2020030516"</f>
        <v>2020030516</v>
      </c>
      <c r="C1266" s="5">
        <v>67.599999999999994</v>
      </c>
      <c r="D1266" s="6">
        <v>59</v>
      </c>
      <c r="E1266" s="7">
        <f t="shared" si="19"/>
        <v>126.6</v>
      </c>
      <c r="F1266" s="8"/>
    </row>
    <row r="1267" spans="1:6" ht="18" customHeight="1">
      <c r="A1267" s="4" t="s">
        <v>38</v>
      </c>
      <c r="B1267" s="4" t="str">
        <f>"2020045623"</f>
        <v>2020045623</v>
      </c>
      <c r="C1267" s="5">
        <v>60.7</v>
      </c>
      <c r="D1267" s="6">
        <v>63.5</v>
      </c>
      <c r="E1267" s="7">
        <f t="shared" si="19"/>
        <v>124.2</v>
      </c>
      <c r="F1267" s="8"/>
    </row>
    <row r="1268" spans="1:6" ht="18" customHeight="1">
      <c r="A1268" s="4" t="s">
        <v>38</v>
      </c>
      <c r="B1268" s="4" t="str">
        <f>"2020023017"</f>
        <v>2020023017</v>
      </c>
      <c r="C1268" s="5">
        <v>63.5</v>
      </c>
      <c r="D1268" s="6">
        <v>58</v>
      </c>
      <c r="E1268" s="7">
        <f t="shared" si="19"/>
        <v>121.5</v>
      </c>
      <c r="F1268" s="8"/>
    </row>
    <row r="1269" spans="1:6" ht="18" customHeight="1">
      <c r="A1269" s="4" t="s">
        <v>38</v>
      </c>
      <c r="B1269" s="4" t="str">
        <f>"2020045901"</f>
        <v>2020045901</v>
      </c>
      <c r="C1269" s="5">
        <v>53.3</v>
      </c>
      <c r="D1269" s="6">
        <v>53</v>
      </c>
      <c r="E1269" s="7">
        <f t="shared" si="19"/>
        <v>106.3</v>
      </c>
      <c r="F1269" s="8"/>
    </row>
    <row r="1270" spans="1:6" ht="18" customHeight="1">
      <c r="A1270" s="4" t="s">
        <v>38</v>
      </c>
      <c r="B1270" s="4" t="str">
        <f>"2020010806"</f>
        <v>2020010806</v>
      </c>
      <c r="C1270" s="5">
        <v>0</v>
      </c>
      <c r="D1270" s="6">
        <v>0</v>
      </c>
      <c r="E1270" s="7">
        <f t="shared" si="19"/>
        <v>0</v>
      </c>
      <c r="F1270" s="9" t="s">
        <v>8</v>
      </c>
    </row>
    <row r="1271" spans="1:6" ht="18" customHeight="1">
      <c r="A1271" s="4" t="s">
        <v>38</v>
      </c>
      <c r="B1271" s="4" t="str">
        <f>"2020012326"</f>
        <v>2020012326</v>
      </c>
      <c r="C1271" s="5">
        <v>0</v>
      </c>
      <c r="D1271" s="6">
        <v>0</v>
      </c>
      <c r="E1271" s="7">
        <f t="shared" si="19"/>
        <v>0</v>
      </c>
      <c r="F1271" s="9" t="s">
        <v>8</v>
      </c>
    </row>
    <row r="1272" spans="1:6" ht="18" customHeight="1">
      <c r="A1272" s="4" t="s">
        <v>38</v>
      </c>
      <c r="B1272" s="4" t="str">
        <f>"2020022108"</f>
        <v>2020022108</v>
      </c>
      <c r="C1272" s="5">
        <v>0</v>
      </c>
      <c r="D1272" s="6">
        <v>0</v>
      </c>
      <c r="E1272" s="7">
        <f t="shared" si="19"/>
        <v>0</v>
      </c>
      <c r="F1272" s="8" t="s">
        <v>8</v>
      </c>
    </row>
    <row r="1273" spans="1:6" ht="18" customHeight="1">
      <c r="A1273" s="4" t="s">
        <v>38</v>
      </c>
      <c r="B1273" s="4" t="str">
        <f>"2020023312"</f>
        <v>2020023312</v>
      </c>
      <c r="C1273" s="5">
        <v>0</v>
      </c>
      <c r="D1273" s="6">
        <v>0</v>
      </c>
      <c r="E1273" s="7">
        <f t="shared" si="19"/>
        <v>0</v>
      </c>
      <c r="F1273" s="8" t="s">
        <v>8</v>
      </c>
    </row>
    <row r="1274" spans="1:6" ht="18" customHeight="1">
      <c r="A1274" s="4" t="s">
        <v>38</v>
      </c>
      <c r="B1274" s="4" t="str">
        <f>"2020030218"</f>
        <v>2020030218</v>
      </c>
      <c r="C1274" s="5">
        <v>0</v>
      </c>
      <c r="D1274" s="6">
        <v>0</v>
      </c>
      <c r="E1274" s="7">
        <f t="shared" si="19"/>
        <v>0</v>
      </c>
      <c r="F1274" s="8" t="s">
        <v>8</v>
      </c>
    </row>
    <row r="1275" spans="1:6" ht="18" customHeight="1">
      <c r="A1275" s="4" t="s">
        <v>38</v>
      </c>
      <c r="B1275" s="4" t="str">
        <f>"2020032615"</f>
        <v>2020032615</v>
      </c>
      <c r="C1275" s="5">
        <v>0</v>
      </c>
      <c r="D1275" s="6">
        <v>0</v>
      </c>
      <c r="E1275" s="7">
        <f t="shared" si="19"/>
        <v>0</v>
      </c>
      <c r="F1275" s="8" t="s">
        <v>8</v>
      </c>
    </row>
    <row r="1276" spans="1:6" ht="18" customHeight="1">
      <c r="A1276" s="4" t="s">
        <v>38</v>
      </c>
      <c r="B1276" s="4" t="str">
        <f>"2020042110"</f>
        <v>2020042110</v>
      </c>
      <c r="C1276" s="5">
        <v>0</v>
      </c>
      <c r="D1276" s="6">
        <v>0</v>
      </c>
      <c r="E1276" s="7">
        <f t="shared" si="19"/>
        <v>0</v>
      </c>
      <c r="F1276" s="8" t="s">
        <v>8</v>
      </c>
    </row>
    <row r="1277" spans="1:6" ht="18" customHeight="1">
      <c r="A1277" s="4" t="s">
        <v>38</v>
      </c>
      <c r="B1277" s="4" t="str">
        <f>"2020042222"</f>
        <v>2020042222</v>
      </c>
      <c r="C1277" s="5">
        <v>0</v>
      </c>
      <c r="D1277" s="6">
        <v>0</v>
      </c>
      <c r="E1277" s="7">
        <f t="shared" si="19"/>
        <v>0</v>
      </c>
      <c r="F1277" s="8" t="s">
        <v>8</v>
      </c>
    </row>
    <row r="1278" spans="1:6" ht="18" customHeight="1">
      <c r="A1278" s="4" t="s">
        <v>38</v>
      </c>
      <c r="B1278" s="4" t="str">
        <f>"2020043808"</f>
        <v>2020043808</v>
      </c>
      <c r="C1278" s="5">
        <v>0</v>
      </c>
      <c r="D1278" s="6">
        <v>0</v>
      </c>
      <c r="E1278" s="7">
        <f t="shared" si="19"/>
        <v>0</v>
      </c>
      <c r="F1278" s="8" t="s">
        <v>8</v>
      </c>
    </row>
    <row r="1279" spans="1:6" ht="18" customHeight="1">
      <c r="A1279" s="4" t="s">
        <v>38</v>
      </c>
      <c r="B1279" s="4" t="str">
        <f>"2020045405"</f>
        <v>2020045405</v>
      </c>
      <c r="C1279" s="5">
        <v>0</v>
      </c>
      <c r="D1279" s="6">
        <v>0</v>
      </c>
      <c r="E1279" s="7">
        <f t="shared" si="19"/>
        <v>0</v>
      </c>
      <c r="F1279" s="8" t="s">
        <v>8</v>
      </c>
    </row>
    <row r="1280" spans="1:6" ht="18" customHeight="1">
      <c r="A1280" s="4" t="s">
        <v>38</v>
      </c>
      <c r="B1280" s="4" t="str">
        <f>"2020046807"</f>
        <v>2020046807</v>
      </c>
      <c r="C1280" s="5">
        <v>0</v>
      </c>
      <c r="D1280" s="6">
        <v>0</v>
      </c>
      <c r="E1280" s="7">
        <f t="shared" si="19"/>
        <v>0</v>
      </c>
      <c r="F1280" s="8" t="s">
        <v>8</v>
      </c>
    </row>
    <row r="1281" spans="1:6" ht="18" customHeight="1">
      <c r="A1281" s="4" t="s">
        <v>39</v>
      </c>
      <c r="B1281" s="4" t="str">
        <f>"2020041804"</f>
        <v>2020041804</v>
      </c>
      <c r="C1281" s="5">
        <v>72.099999999999994</v>
      </c>
      <c r="D1281" s="6">
        <v>80</v>
      </c>
      <c r="E1281" s="7">
        <f t="shared" si="19"/>
        <v>152.1</v>
      </c>
      <c r="F1281" s="8"/>
    </row>
    <row r="1282" spans="1:6" ht="18" customHeight="1">
      <c r="A1282" s="4" t="s">
        <v>39</v>
      </c>
      <c r="B1282" s="4" t="str">
        <f>"2020042903"</f>
        <v>2020042903</v>
      </c>
      <c r="C1282" s="5">
        <v>63.6</v>
      </c>
      <c r="D1282" s="6">
        <v>83</v>
      </c>
      <c r="E1282" s="7">
        <f t="shared" si="19"/>
        <v>146.6</v>
      </c>
      <c r="F1282" s="8"/>
    </row>
    <row r="1283" spans="1:6" ht="18" customHeight="1">
      <c r="A1283" s="4" t="s">
        <v>39</v>
      </c>
      <c r="B1283" s="4" t="str">
        <f>"2020044323"</f>
        <v>2020044323</v>
      </c>
      <c r="C1283" s="5">
        <v>72.5</v>
      </c>
      <c r="D1283" s="6">
        <v>73.5</v>
      </c>
      <c r="E1283" s="7">
        <f t="shared" ref="E1283:E1346" si="20">SUM(C1283:D1283)</f>
        <v>146</v>
      </c>
      <c r="F1283" s="8"/>
    </row>
    <row r="1284" spans="1:6" ht="18" customHeight="1">
      <c r="A1284" s="4" t="s">
        <v>39</v>
      </c>
      <c r="B1284" s="4" t="str">
        <f>"2020045811"</f>
        <v>2020045811</v>
      </c>
      <c r="C1284" s="5">
        <v>68.900000000000006</v>
      </c>
      <c r="D1284" s="6">
        <v>77</v>
      </c>
      <c r="E1284" s="7">
        <f t="shared" si="20"/>
        <v>145.9</v>
      </c>
      <c r="F1284" s="8"/>
    </row>
    <row r="1285" spans="1:6" ht="18" customHeight="1">
      <c r="A1285" s="4" t="s">
        <v>39</v>
      </c>
      <c r="B1285" s="4" t="str">
        <f>"2020021010"</f>
        <v>2020021010</v>
      </c>
      <c r="C1285" s="5">
        <v>71.5</v>
      </c>
      <c r="D1285" s="6">
        <v>74</v>
      </c>
      <c r="E1285" s="7">
        <f t="shared" si="20"/>
        <v>145.5</v>
      </c>
      <c r="F1285" s="8"/>
    </row>
    <row r="1286" spans="1:6" ht="18" customHeight="1">
      <c r="A1286" s="4" t="s">
        <v>39</v>
      </c>
      <c r="B1286" s="4" t="str">
        <f>"2020045113"</f>
        <v>2020045113</v>
      </c>
      <c r="C1286" s="5">
        <v>65.900000000000006</v>
      </c>
      <c r="D1286" s="6">
        <v>76.5</v>
      </c>
      <c r="E1286" s="7">
        <f t="shared" si="20"/>
        <v>142.4</v>
      </c>
      <c r="F1286" s="8"/>
    </row>
    <row r="1287" spans="1:6" ht="18" customHeight="1">
      <c r="A1287" s="4" t="s">
        <v>39</v>
      </c>
      <c r="B1287" s="4" t="str">
        <f>"2020013816"</f>
        <v>2020013816</v>
      </c>
      <c r="C1287" s="5">
        <v>61.6</v>
      </c>
      <c r="D1287" s="6">
        <v>80.5</v>
      </c>
      <c r="E1287" s="7">
        <f t="shared" si="20"/>
        <v>142.1</v>
      </c>
      <c r="F1287" s="8"/>
    </row>
    <row r="1288" spans="1:6" ht="18" customHeight="1">
      <c r="A1288" s="4" t="s">
        <v>39</v>
      </c>
      <c r="B1288" s="4" t="str">
        <f>"2020024006"</f>
        <v>2020024006</v>
      </c>
      <c r="C1288" s="5">
        <v>66.5</v>
      </c>
      <c r="D1288" s="6">
        <v>75</v>
      </c>
      <c r="E1288" s="7">
        <f t="shared" si="20"/>
        <v>141.5</v>
      </c>
      <c r="F1288" s="8"/>
    </row>
    <row r="1289" spans="1:6" ht="18" customHeight="1">
      <c r="A1289" s="4" t="s">
        <v>39</v>
      </c>
      <c r="B1289" s="4" t="str">
        <f>"2020010413"</f>
        <v>2020010413</v>
      </c>
      <c r="C1289" s="5">
        <v>61.5</v>
      </c>
      <c r="D1289" s="6">
        <v>80</v>
      </c>
      <c r="E1289" s="7">
        <f t="shared" si="20"/>
        <v>141.5</v>
      </c>
      <c r="F1289" s="8"/>
    </row>
    <row r="1290" spans="1:6" ht="18" customHeight="1">
      <c r="A1290" s="4" t="s">
        <v>39</v>
      </c>
      <c r="B1290" s="4" t="str">
        <f>"2020046320"</f>
        <v>2020046320</v>
      </c>
      <c r="C1290" s="5">
        <v>59.3</v>
      </c>
      <c r="D1290" s="6">
        <v>81.5</v>
      </c>
      <c r="E1290" s="7">
        <f t="shared" si="20"/>
        <v>140.80000000000001</v>
      </c>
      <c r="F1290" s="8"/>
    </row>
    <row r="1291" spans="1:6" ht="18" customHeight="1">
      <c r="A1291" s="4" t="s">
        <v>39</v>
      </c>
      <c r="B1291" s="4" t="str">
        <f>"2020042228"</f>
        <v>2020042228</v>
      </c>
      <c r="C1291" s="5">
        <v>73.599999999999994</v>
      </c>
      <c r="D1291" s="6">
        <v>66.5</v>
      </c>
      <c r="E1291" s="7">
        <f t="shared" si="20"/>
        <v>140.1</v>
      </c>
      <c r="F1291" s="8"/>
    </row>
    <row r="1292" spans="1:6" ht="18" customHeight="1">
      <c r="A1292" s="4" t="s">
        <v>39</v>
      </c>
      <c r="B1292" s="4" t="str">
        <f>"2020012630"</f>
        <v>2020012630</v>
      </c>
      <c r="C1292" s="5">
        <v>67.900000000000006</v>
      </c>
      <c r="D1292" s="6">
        <v>70</v>
      </c>
      <c r="E1292" s="7">
        <f t="shared" si="20"/>
        <v>137.9</v>
      </c>
      <c r="F1292" s="8"/>
    </row>
    <row r="1293" spans="1:6" ht="18" customHeight="1">
      <c r="A1293" s="4" t="s">
        <v>39</v>
      </c>
      <c r="B1293" s="4" t="str">
        <f>"2020011313"</f>
        <v>2020011313</v>
      </c>
      <c r="C1293" s="5">
        <v>70.2</v>
      </c>
      <c r="D1293" s="6">
        <v>67.5</v>
      </c>
      <c r="E1293" s="7">
        <f t="shared" si="20"/>
        <v>137.69999999999999</v>
      </c>
      <c r="F1293" s="8"/>
    </row>
    <row r="1294" spans="1:6" ht="18" customHeight="1">
      <c r="A1294" s="4" t="s">
        <v>39</v>
      </c>
      <c r="B1294" s="4" t="str">
        <f>"2020023625"</f>
        <v>2020023625</v>
      </c>
      <c r="C1294" s="5">
        <v>72.7</v>
      </c>
      <c r="D1294" s="6">
        <v>62</v>
      </c>
      <c r="E1294" s="7">
        <f t="shared" si="20"/>
        <v>134.69999999999999</v>
      </c>
      <c r="F1294" s="8"/>
    </row>
    <row r="1295" spans="1:6" ht="18" customHeight="1">
      <c r="A1295" s="4" t="s">
        <v>39</v>
      </c>
      <c r="B1295" s="4" t="str">
        <f>"2020014023"</f>
        <v>2020014023</v>
      </c>
      <c r="C1295" s="5">
        <v>64.7</v>
      </c>
      <c r="D1295" s="6">
        <v>66.5</v>
      </c>
      <c r="E1295" s="7">
        <f t="shared" si="20"/>
        <v>131.19999999999999</v>
      </c>
      <c r="F1295" s="8"/>
    </row>
    <row r="1296" spans="1:6" ht="18" customHeight="1">
      <c r="A1296" s="4" t="s">
        <v>39</v>
      </c>
      <c r="B1296" s="4" t="str">
        <f>"2020030611"</f>
        <v>2020030611</v>
      </c>
      <c r="C1296" s="5">
        <v>65.2</v>
      </c>
      <c r="D1296" s="6">
        <v>65</v>
      </c>
      <c r="E1296" s="7">
        <f t="shared" si="20"/>
        <v>130.19999999999999</v>
      </c>
      <c r="F1296" s="8"/>
    </row>
    <row r="1297" spans="1:6" ht="18" customHeight="1">
      <c r="A1297" s="4" t="s">
        <v>39</v>
      </c>
      <c r="B1297" s="4" t="str">
        <f>"2020021921"</f>
        <v>2020021921</v>
      </c>
      <c r="C1297" s="5">
        <v>63</v>
      </c>
      <c r="D1297" s="6">
        <v>67</v>
      </c>
      <c r="E1297" s="7">
        <f t="shared" si="20"/>
        <v>130</v>
      </c>
      <c r="F1297" s="8"/>
    </row>
    <row r="1298" spans="1:6" ht="18" customHeight="1">
      <c r="A1298" s="4" t="s">
        <v>39</v>
      </c>
      <c r="B1298" s="4" t="str">
        <f>"2020024316"</f>
        <v>2020024316</v>
      </c>
      <c r="C1298" s="5">
        <v>59.8</v>
      </c>
      <c r="D1298" s="6">
        <v>68.5</v>
      </c>
      <c r="E1298" s="7">
        <f t="shared" si="20"/>
        <v>128.30000000000001</v>
      </c>
      <c r="F1298" s="8"/>
    </row>
    <row r="1299" spans="1:6" ht="18" customHeight="1">
      <c r="A1299" s="4" t="s">
        <v>39</v>
      </c>
      <c r="B1299" s="4" t="str">
        <f>"2020031524"</f>
        <v>2020031524</v>
      </c>
      <c r="C1299" s="5">
        <v>63.2</v>
      </c>
      <c r="D1299" s="6">
        <v>65</v>
      </c>
      <c r="E1299" s="7">
        <f t="shared" si="20"/>
        <v>128.19999999999999</v>
      </c>
      <c r="F1299" s="8"/>
    </row>
    <row r="1300" spans="1:6" ht="18" customHeight="1">
      <c r="A1300" s="4" t="s">
        <v>39</v>
      </c>
      <c r="B1300" s="4" t="str">
        <f>"2020024826"</f>
        <v>2020024826</v>
      </c>
      <c r="C1300" s="5">
        <v>57.3</v>
      </c>
      <c r="D1300" s="6">
        <v>65</v>
      </c>
      <c r="E1300" s="7">
        <f t="shared" si="20"/>
        <v>122.3</v>
      </c>
      <c r="F1300" s="8"/>
    </row>
    <row r="1301" spans="1:6" ht="18" customHeight="1">
      <c r="A1301" s="4" t="s">
        <v>39</v>
      </c>
      <c r="B1301" s="4" t="str">
        <f>"2020043119"</f>
        <v>2020043119</v>
      </c>
      <c r="C1301" s="5">
        <v>57.8</v>
      </c>
      <c r="D1301" s="6">
        <v>61.5</v>
      </c>
      <c r="E1301" s="7">
        <f t="shared" si="20"/>
        <v>119.3</v>
      </c>
      <c r="F1301" s="8"/>
    </row>
    <row r="1302" spans="1:6" ht="18" customHeight="1">
      <c r="A1302" s="4" t="s">
        <v>39</v>
      </c>
      <c r="B1302" s="4" t="str">
        <f>"2020010830"</f>
        <v>2020010830</v>
      </c>
      <c r="C1302" s="5">
        <v>59.5</v>
      </c>
      <c r="D1302" s="6">
        <v>58.5</v>
      </c>
      <c r="E1302" s="7">
        <f t="shared" si="20"/>
        <v>118</v>
      </c>
      <c r="F1302" s="8"/>
    </row>
    <row r="1303" spans="1:6" ht="18" customHeight="1">
      <c r="A1303" s="4" t="s">
        <v>39</v>
      </c>
      <c r="B1303" s="4" t="str">
        <f>"2020023825"</f>
        <v>2020023825</v>
      </c>
      <c r="C1303" s="5">
        <v>56.4</v>
      </c>
      <c r="D1303" s="6">
        <v>56.5</v>
      </c>
      <c r="E1303" s="7">
        <f t="shared" si="20"/>
        <v>112.9</v>
      </c>
      <c r="F1303" s="8"/>
    </row>
    <row r="1304" spans="1:6" ht="18" customHeight="1">
      <c r="A1304" s="4" t="s">
        <v>39</v>
      </c>
      <c r="B1304" s="4" t="str">
        <f>"2020011822"</f>
        <v>2020011822</v>
      </c>
      <c r="C1304" s="5">
        <v>0</v>
      </c>
      <c r="D1304" s="6">
        <v>0</v>
      </c>
      <c r="E1304" s="7">
        <f t="shared" si="20"/>
        <v>0</v>
      </c>
      <c r="F1304" s="9" t="s">
        <v>8</v>
      </c>
    </row>
    <row r="1305" spans="1:6" ht="18" customHeight="1">
      <c r="A1305" s="4" t="s">
        <v>39</v>
      </c>
      <c r="B1305" s="4" t="str">
        <f>"2020022518"</f>
        <v>2020022518</v>
      </c>
      <c r="C1305" s="5">
        <v>0</v>
      </c>
      <c r="D1305" s="6">
        <v>0</v>
      </c>
      <c r="E1305" s="7">
        <f t="shared" si="20"/>
        <v>0</v>
      </c>
      <c r="F1305" s="8" t="s">
        <v>8</v>
      </c>
    </row>
    <row r="1306" spans="1:6" ht="18" customHeight="1">
      <c r="A1306" s="4" t="s">
        <v>39</v>
      </c>
      <c r="B1306" s="4" t="str">
        <f>"2020031307"</f>
        <v>2020031307</v>
      </c>
      <c r="C1306" s="5">
        <v>0</v>
      </c>
      <c r="D1306" s="6">
        <v>0</v>
      </c>
      <c r="E1306" s="7">
        <f t="shared" si="20"/>
        <v>0</v>
      </c>
      <c r="F1306" s="8" t="s">
        <v>8</v>
      </c>
    </row>
    <row r="1307" spans="1:6" ht="18" customHeight="1">
      <c r="A1307" s="4" t="s">
        <v>39</v>
      </c>
      <c r="B1307" s="4" t="str">
        <f>"2020041421"</f>
        <v>2020041421</v>
      </c>
      <c r="C1307" s="5">
        <v>0</v>
      </c>
      <c r="D1307" s="6">
        <v>0</v>
      </c>
      <c r="E1307" s="7">
        <f t="shared" si="20"/>
        <v>0</v>
      </c>
      <c r="F1307" s="8" t="s">
        <v>8</v>
      </c>
    </row>
    <row r="1308" spans="1:6" ht="18" customHeight="1">
      <c r="A1308" s="4" t="s">
        <v>39</v>
      </c>
      <c r="B1308" s="4" t="str">
        <f>"2020043117"</f>
        <v>2020043117</v>
      </c>
      <c r="C1308" s="5">
        <v>0</v>
      </c>
      <c r="D1308" s="6">
        <v>0</v>
      </c>
      <c r="E1308" s="7">
        <f t="shared" si="20"/>
        <v>0</v>
      </c>
      <c r="F1308" s="8" t="s">
        <v>8</v>
      </c>
    </row>
    <row r="1309" spans="1:6" ht="18" customHeight="1">
      <c r="A1309" s="4" t="s">
        <v>39</v>
      </c>
      <c r="B1309" s="4" t="str">
        <f>"2020044602"</f>
        <v>2020044602</v>
      </c>
      <c r="C1309" s="5">
        <v>0</v>
      </c>
      <c r="D1309" s="6">
        <v>0</v>
      </c>
      <c r="E1309" s="7">
        <f t="shared" si="20"/>
        <v>0</v>
      </c>
      <c r="F1309" s="8" t="s">
        <v>8</v>
      </c>
    </row>
    <row r="1310" spans="1:6" ht="18" customHeight="1">
      <c r="A1310" s="4" t="s">
        <v>39</v>
      </c>
      <c r="B1310" s="4" t="str">
        <f>"2020046417"</f>
        <v>2020046417</v>
      </c>
      <c r="C1310" s="5">
        <v>0</v>
      </c>
      <c r="D1310" s="6">
        <v>0</v>
      </c>
      <c r="E1310" s="7">
        <f t="shared" si="20"/>
        <v>0</v>
      </c>
      <c r="F1310" s="8" t="s">
        <v>8</v>
      </c>
    </row>
    <row r="1311" spans="1:6" ht="18" customHeight="1">
      <c r="A1311" s="4" t="s">
        <v>40</v>
      </c>
      <c r="B1311" s="4" t="str">
        <f>"2020023320"</f>
        <v>2020023320</v>
      </c>
      <c r="C1311" s="5">
        <v>80.599999999999994</v>
      </c>
      <c r="D1311" s="6">
        <v>89</v>
      </c>
      <c r="E1311" s="7">
        <f t="shared" si="20"/>
        <v>169.6</v>
      </c>
      <c r="F1311" s="8"/>
    </row>
    <row r="1312" spans="1:6" ht="18" customHeight="1">
      <c r="A1312" s="4" t="s">
        <v>40</v>
      </c>
      <c r="B1312" s="4" t="str">
        <f>"2020010606"</f>
        <v>2020010606</v>
      </c>
      <c r="C1312" s="5">
        <v>77.3</v>
      </c>
      <c r="D1312" s="6">
        <v>88</v>
      </c>
      <c r="E1312" s="7">
        <f t="shared" si="20"/>
        <v>165.3</v>
      </c>
      <c r="F1312" s="8"/>
    </row>
    <row r="1313" spans="1:6" ht="18" customHeight="1">
      <c r="A1313" s="4" t="s">
        <v>40</v>
      </c>
      <c r="B1313" s="4" t="str">
        <f>"2020024329"</f>
        <v>2020024329</v>
      </c>
      <c r="C1313" s="5">
        <v>72.3</v>
      </c>
      <c r="D1313" s="6">
        <v>92</v>
      </c>
      <c r="E1313" s="7">
        <f t="shared" si="20"/>
        <v>164.3</v>
      </c>
      <c r="F1313" s="8"/>
    </row>
    <row r="1314" spans="1:6" ht="18" customHeight="1">
      <c r="A1314" s="4" t="s">
        <v>40</v>
      </c>
      <c r="B1314" s="4" t="str">
        <f>"2020047413"</f>
        <v>2020047413</v>
      </c>
      <c r="C1314" s="5">
        <v>80.900000000000006</v>
      </c>
      <c r="D1314" s="6">
        <v>79</v>
      </c>
      <c r="E1314" s="7">
        <f t="shared" si="20"/>
        <v>159.9</v>
      </c>
      <c r="F1314" s="8"/>
    </row>
    <row r="1315" spans="1:6" ht="18" customHeight="1">
      <c r="A1315" s="4" t="s">
        <v>40</v>
      </c>
      <c r="B1315" s="4" t="str">
        <f>"2020031702"</f>
        <v>2020031702</v>
      </c>
      <c r="C1315" s="5">
        <v>83.3</v>
      </c>
      <c r="D1315" s="6">
        <v>76</v>
      </c>
      <c r="E1315" s="7">
        <f t="shared" si="20"/>
        <v>159.30000000000001</v>
      </c>
      <c r="F1315" s="8"/>
    </row>
    <row r="1316" spans="1:6" ht="18" customHeight="1">
      <c r="A1316" s="4" t="s">
        <v>40</v>
      </c>
      <c r="B1316" s="4" t="str">
        <f>"2020011909"</f>
        <v>2020011909</v>
      </c>
      <c r="C1316" s="5">
        <v>73.8</v>
      </c>
      <c r="D1316" s="6">
        <v>85.5</v>
      </c>
      <c r="E1316" s="7">
        <f t="shared" si="20"/>
        <v>159.30000000000001</v>
      </c>
      <c r="F1316" s="8"/>
    </row>
    <row r="1317" spans="1:6" ht="18" customHeight="1">
      <c r="A1317" s="4" t="s">
        <v>40</v>
      </c>
      <c r="B1317" s="4" t="str">
        <f>"2020021303"</f>
        <v>2020021303</v>
      </c>
      <c r="C1317" s="5">
        <v>77</v>
      </c>
      <c r="D1317" s="6">
        <v>81.5</v>
      </c>
      <c r="E1317" s="7">
        <f t="shared" si="20"/>
        <v>158.5</v>
      </c>
      <c r="F1317" s="8"/>
    </row>
    <row r="1318" spans="1:6" ht="18" customHeight="1">
      <c r="A1318" s="4" t="s">
        <v>40</v>
      </c>
      <c r="B1318" s="4" t="str">
        <f>"2020011609"</f>
        <v>2020011609</v>
      </c>
      <c r="C1318" s="5">
        <v>79</v>
      </c>
      <c r="D1318" s="6">
        <v>79</v>
      </c>
      <c r="E1318" s="7">
        <f t="shared" si="20"/>
        <v>158</v>
      </c>
      <c r="F1318" s="8"/>
    </row>
    <row r="1319" spans="1:6" ht="18" customHeight="1">
      <c r="A1319" s="4" t="s">
        <v>40</v>
      </c>
      <c r="B1319" s="4" t="str">
        <f>"2020012724"</f>
        <v>2020012724</v>
      </c>
      <c r="C1319" s="5">
        <v>81</v>
      </c>
      <c r="D1319" s="6">
        <v>76</v>
      </c>
      <c r="E1319" s="7">
        <f t="shared" si="20"/>
        <v>157</v>
      </c>
      <c r="F1319" s="8"/>
    </row>
    <row r="1320" spans="1:6" ht="18" customHeight="1">
      <c r="A1320" s="4" t="s">
        <v>40</v>
      </c>
      <c r="B1320" s="4" t="str">
        <f>"2020045822"</f>
        <v>2020045822</v>
      </c>
      <c r="C1320" s="5">
        <v>73</v>
      </c>
      <c r="D1320" s="6">
        <v>84</v>
      </c>
      <c r="E1320" s="7">
        <f t="shared" si="20"/>
        <v>157</v>
      </c>
      <c r="F1320" s="8"/>
    </row>
    <row r="1321" spans="1:6" ht="18" customHeight="1">
      <c r="A1321" s="4" t="s">
        <v>40</v>
      </c>
      <c r="B1321" s="4" t="str">
        <f>"2020020212"</f>
        <v>2020020212</v>
      </c>
      <c r="C1321" s="5">
        <v>73</v>
      </c>
      <c r="D1321" s="6">
        <v>83.5</v>
      </c>
      <c r="E1321" s="7">
        <f t="shared" si="20"/>
        <v>156.5</v>
      </c>
      <c r="F1321" s="8"/>
    </row>
    <row r="1322" spans="1:6" ht="18" customHeight="1">
      <c r="A1322" s="4" t="s">
        <v>40</v>
      </c>
      <c r="B1322" s="4" t="str">
        <f>"2020045215"</f>
        <v>2020045215</v>
      </c>
      <c r="C1322" s="5">
        <v>72.900000000000006</v>
      </c>
      <c r="D1322" s="6">
        <v>83</v>
      </c>
      <c r="E1322" s="7">
        <f t="shared" si="20"/>
        <v>155.9</v>
      </c>
      <c r="F1322" s="8"/>
    </row>
    <row r="1323" spans="1:6" ht="18" customHeight="1">
      <c r="A1323" s="4" t="s">
        <v>40</v>
      </c>
      <c r="B1323" s="4" t="str">
        <f>"2020033623"</f>
        <v>2020033623</v>
      </c>
      <c r="C1323" s="5">
        <v>73.400000000000006</v>
      </c>
      <c r="D1323" s="6">
        <v>81.5</v>
      </c>
      <c r="E1323" s="7">
        <f t="shared" si="20"/>
        <v>154.9</v>
      </c>
      <c r="F1323" s="8"/>
    </row>
    <row r="1324" spans="1:6" ht="18" customHeight="1">
      <c r="A1324" s="4" t="s">
        <v>40</v>
      </c>
      <c r="B1324" s="4" t="str">
        <f>"2020011307"</f>
        <v>2020011307</v>
      </c>
      <c r="C1324" s="5">
        <v>69.5</v>
      </c>
      <c r="D1324" s="6">
        <v>84.5</v>
      </c>
      <c r="E1324" s="7">
        <f t="shared" si="20"/>
        <v>154</v>
      </c>
      <c r="F1324" s="8"/>
    </row>
    <row r="1325" spans="1:6" ht="18" customHeight="1">
      <c r="A1325" s="4" t="s">
        <v>40</v>
      </c>
      <c r="B1325" s="4" t="str">
        <f>"2020024401"</f>
        <v>2020024401</v>
      </c>
      <c r="C1325" s="5">
        <v>71.400000000000006</v>
      </c>
      <c r="D1325" s="6">
        <v>82.5</v>
      </c>
      <c r="E1325" s="7">
        <f t="shared" si="20"/>
        <v>153.9</v>
      </c>
      <c r="F1325" s="8"/>
    </row>
    <row r="1326" spans="1:6" ht="18" customHeight="1">
      <c r="A1326" s="4" t="s">
        <v>40</v>
      </c>
      <c r="B1326" s="4" t="str">
        <f>"2020023208"</f>
        <v>2020023208</v>
      </c>
      <c r="C1326" s="5">
        <v>68.8</v>
      </c>
      <c r="D1326" s="6">
        <v>84.5</v>
      </c>
      <c r="E1326" s="7">
        <f t="shared" si="20"/>
        <v>153.30000000000001</v>
      </c>
      <c r="F1326" s="8"/>
    </row>
    <row r="1327" spans="1:6" ht="18" customHeight="1">
      <c r="A1327" s="4" t="s">
        <v>40</v>
      </c>
      <c r="B1327" s="4" t="str">
        <f>"2020020530"</f>
        <v>2020020530</v>
      </c>
      <c r="C1327" s="5">
        <v>75.3</v>
      </c>
      <c r="D1327" s="6">
        <v>77</v>
      </c>
      <c r="E1327" s="7">
        <f t="shared" si="20"/>
        <v>152.30000000000001</v>
      </c>
      <c r="F1327" s="8"/>
    </row>
    <row r="1328" spans="1:6" ht="18" customHeight="1">
      <c r="A1328" s="4" t="s">
        <v>40</v>
      </c>
      <c r="B1328" s="4" t="str">
        <f>"2020032318"</f>
        <v>2020032318</v>
      </c>
      <c r="C1328" s="5">
        <v>70.8</v>
      </c>
      <c r="D1328" s="6">
        <v>81.5</v>
      </c>
      <c r="E1328" s="7">
        <f t="shared" si="20"/>
        <v>152.30000000000001</v>
      </c>
      <c r="F1328" s="8"/>
    </row>
    <row r="1329" spans="1:6" ht="18" customHeight="1">
      <c r="A1329" s="4" t="s">
        <v>40</v>
      </c>
      <c r="B1329" s="4" t="str">
        <f>"2020020913"</f>
        <v>2020020913</v>
      </c>
      <c r="C1329" s="5">
        <v>71.7</v>
      </c>
      <c r="D1329" s="6">
        <v>80</v>
      </c>
      <c r="E1329" s="7">
        <f t="shared" si="20"/>
        <v>151.69999999999999</v>
      </c>
      <c r="F1329" s="8"/>
    </row>
    <row r="1330" spans="1:6" ht="18" customHeight="1">
      <c r="A1330" s="4" t="s">
        <v>40</v>
      </c>
      <c r="B1330" s="4" t="str">
        <f>"2020022015"</f>
        <v>2020022015</v>
      </c>
      <c r="C1330" s="5">
        <v>73.400000000000006</v>
      </c>
      <c r="D1330" s="6">
        <v>78</v>
      </c>
      <c r="E1330" s="7">
        <f t="shared" si="20"/>
        <v>151.4</v>
      </c>
      <c r="F1330" s="8"/>
    </row>
    <row r="1331" spans="1:6" ht="18" customHeight="1">
      <c r="A1331" s="4" t="s">
        <v>40</v>
      </c>
      <c r="B1331" s="4" t="str">
        <f>"2020044211"</f>
        <v>2020044211</v>
      </c>
      <c r="C1331" s="5">
        <v>72.8</v>
      </c>
      <c r="D1331" s="6">
        <v>78.5</v>
      </c>
      <c r="E1331" s="7">
        <f t="shared" si="20"/>
        <v>151.30000000000001</v>
      </c>
      <c r="F1331" s="8"/>
    </row>
    <row r="1332" spans="1:6" ht="18" customHeight="1">
      <c r="A1332" s="4" t="s">
        <v>40</v>
      </c>
      <c r="B1332" s="4" t="str">
        <f>"2020030724"</f>
        <v>2020030724</v>
      </c>
      <c r="C1332" s="5">
        <v>77</v>
      </c>
      <c r="D1332" s="6">
        <v>74</v>
      </c>
      <c r="E1332" s="7">
        <f t="shared" si="20"/>
        <v>151</v>
      </c>
      <c r="F1332" s="8"/>
    </row>
    <row r="1333" spans="1:6" ht="18" customHeight="1">
      <c r="A1333" s="4" t="s">
        <v>40</v>
      </c>
      <c r="B1333" s="4" t="str">
        <f>"2020022324"</f>
        <v>2020022324</v>
      </c>
      <c r="C1333" s="5">
        <v>70.3</v>
      </c>
      <c r="D1333" s="6">
        <v>80</v>
      </c>
      <c r="E1333" s="7">
        <f t="shared" si="20"/>
        <v>150.30000000000001</v>
      </c>
      <c r="F1333" s="8"/>
    </row>
    <row r="1334" spans="1:6" ht="18" customHeight="1">
      <c r="A1334" s="4" t="s">
        <v>40</v>
      </c>
      <c r="B1334" s="4" t="str">
        <f>"2020021519"</f>
        <v>2020021519</v>
      </c>
      <c r="C1334" s="5">
        <v>65.2</v>
      </c>
      <c r="D1334" s="6">
        <v>85</v>
      </c>
      <c r="E1334" s="7">
        <f t="shared" si="20"/>
        <v>150.19999999999999</v>
      </c>
      <c r="F1334" s="8"/>
    </row>
    <row r="1335" spans="1:6" ht="18" customHeight="1">
      <c r="A1335" s="4" t="s">
        <v>40</v>
      </c>
      <c r="B1335" s="4" t="str">
        <f>"2020013703"</f>
        <v>2020013703</v>
      </c>
      <c r="C1335" s="5">
        <v>75.400000000000006</v>
      </c>
      <c r="D1335" s="6">
        <v>74.5</v>
      </c>
      <c r="E1335" s="7">
        <f t="shared" si="20"/>
        <v>149.9</v>
      </c>
      <c r="F1335" s="8"/>
    </row>
    <row r="1336" spans="1:6" ht="18" customHeight="1">
      <c r="A1336" s="4" t="s">
        <v>40</v>
      </c>
      <c r="B1336" s="4" t="str">
        <f>"2020023520"</f>
        <v>2020023520</v>
      </c>
      <c r="C1336" s="5">
        <v>67.099999999999994</v>
      </c>
      <c r="D1336" s="6">
        <v>82.5</v>
      </c>
      <c r="E1336" s="7">
        <f t="shared" si="20"/>
        <v>149.6</v>
      </c>
      <c r="F1336" s="8"/>
    </row>
    <row r="1337" spans="1:6" ht="18" customHeight="1">
      <c r="A1337" s="4" t="s">
        <v>40</v>
      </c>
      <c r="B1337" s="4" t="str">
        <f>"2020046111"</f>
        <v>2020046111</v>
      </c>
      <c r="C1337" s="5">
        <v>75</v>
      </c>
      <c r="D1337" s="6">
        <v>74.5</v>
      </c>
      <c r="E1337" s="7">
        <f t="shared" si="20"/>
        <v>149.5</v>
      </c>
      <c r="F1337" s="8"/>
    </row>
    <row r="1338" spans="1:6" ht="18" customHeight="1">
      <c r="A1338" s="4" t="s">
        <v>40</v>
      </c>
      <c r="B1338" s="4" t="str">
        <f>"2020021707"</f>
        <v>2020021707</v>
      </c>
      <c r="C1338" s="5">
        <v>68.599999999999994</v>
      </c>
      <c r="D1338" s="6">
        <v>80.5</v>
      </c>
      <c r="E1338" s="7">
        <f t="shared" si="20"/>
        <v>149.1</v>
      </c>
      <c r="F1338" s="8"/>
    </row>
    <row r="1339" spans="1:6" ht="18" customHeight="1">
      <c r="A1339" s="4" t="s">
        <v>40</v>
      </c>
      <c r="B1339" s="4" t="str">
        <f>"2020045414"</f>
        <v>2020045414</v>
      </c>
      <c r="C1339" s="5">
        <v>73.900000000000006</v>
      </c>
      <c r="D1339" s="6">
        <v>74</v>
      </c>
      <c r="E1339" s="7">
        <f t="shared" si="20"/>
        <v>147.9</v>
      </c>
      <c r="F1339" s="8"/>
    </row>
    <row r="1340" spans="1:6" ht="18" customHeight="1">
      <c r="A1340" s="4" t="s">
        <v>40</v>
      </c>
      <c r="B1340" s="4" t="str">
        <f>"2020045211"</f>
        <v>2020045211</v>
      </c>
      <c r="C1340" s="5">
        <v>77.599999999999994</v>
      </c>
      <c r="D1340" s="6">
        <v>70</v>
      </c>
      <c r="E1340" s="7">
        <f t="shared" si="20"/>
        <v>147.6</v>
      </c>
      <c r="F1340" s="8"/>
    </row>
    <row r="1341" spans="1:6" ht="18" customHeight="1">
      <c r="A1341" s="4" t="s">
        <v>40</v>
      </c>
      <c r="B1341" s="4" t="str">
        <f>"2020045122"</f>
        <v>2020045122</v>
      </c>
      <c r="C1341" s="5">
        <v>68.5</v>
      </c>
      <c r="D1341" s="6">
        <v>78.5</v>
      </c>
      <c r="E1341" s="7">
        <f t="shared" si="20"/>
        <v>147</v>
      </c>
      <c r="F1341" s="8"/>
    </row>
    <row r="1342" spans="1:6" ht="18" customHeight="1">
      <c r="A1342" s="4" t="s">
        <v>40</v>
      </c>
      <c r="B1342" s="4" t="str">
        <f>"2020044622"</f>
        <v>2020044622</v>
      </c>
      <c r="C1342" s="5">
        <v>70.7</v>
      </c>
      <c r="D1342" s="6">
        <v>76</v>
      </c>
      <c r="E1342" s="7">
        <f t="shared" si="20"/>
        <v>146.69999999999999</v>
      </c>
      <c r="F1342" s="8"/>
    </row>
    <row r="1343" spans="1:6" ht="18" customHeight="1">
      <c r="A1343" s="4" t="s">
        <v>40</v>
      </c>
      <c r="B1343" s="4" t="str">
        <f>"2020046319"</f>
        <v>2020046319</v>
      </c>
      <c r="C1343" s="5">
        <v>67.3</v>
      </c>
      <c r="D1343" s="6">
        <v>79</v>
      </c>
      <c r="E1343" s="7">
        <f t="shared" si="20"/>
        <v>146.30000000000001</v>
      </c>
      <c r="F1343" s="8"/>
    </row>
    <row r="1344" spans="1:6" ht="18" customHeight="1">
      <c r="A1344" s="4" t="s">
        <v>40</v>
      </c>
      <c r="B1344" s="4" t="str">
        <f>"2020010804"</f>
        <v>2020010804</v>
      </c>
      <c r="C1344" s="5">
        <v>70.599999999999994</v>
      </c>
      <c r="D1344" s="6">
        <v>74.5</v>
      </c>
      <c r="E1344" s="7">
        <f t="shared" si="20"/>
        <v>145.1</v>
      </c>
      <c r="F1344" s="8"/>
    </row>
    <row r="1345" spans="1:6" ht="18" customHeight="1">
      <c r="A1345" s="4" t="s">
        <v>40</v>
      </c>
      <c r="B1345" s="4" t="str">
        <f>"2020044203"</f>
        <v>2020044203</v>
      </c>
      <c r="C1345" s="5">
        <v>66.5</v>
      </c>
      <c r="D1345" s="6">
        <v>78.5</v>
      </c>
      <c r="E1345" s="7">
        <f t="shared" si="20"/>
        <v>145</v>
      </c>
      <c r="F1345" s="8"/>
    </row>
    <row r="1346" spans="1:6" ht="18" customHeight="1">
      <c r="A1346" s="4" t="s">
        <v>40</v>
      </c>
      <c r="B1346" s="4" t="str">
        <f>"2020041706"</f>
        <v>2020041706</v>
      </c>
      <c r="C1346" s="5">
        <v>77.7</v>
      </c>
      <c r="D1346" s="6">
        <v>67</v>
      </c>
      <c r="E1346" s="7">
        <f t="shared" si="20"/>
        <v>144.69999999999999</v>
      </c>
      <c r="F1346" s="8"/>
    </row>
    <row r="1347" spans="1:6" ht="18" customHeight="1">
      <c r="A1347" s="4" t="s">
        <v>40</v>
      </c>
      <c r="B1347" s="4" t="str">
        <f>"2020043728"</f>
        <v>2020043728</v>
      </c>
      <c r="C1347" s="5">
        <v>66.5</v>
      </c>
      <c r="D1347" s="6">
        <v>78</v>
      </c>
      <c r="E1347" s="7">
        <f t="shared" ref="E1347:E1410" si="21">SUM(C1347:D1347)</f>
        <v>144.5</v>
      </c>
      <c r="F1347" s="8"/>
    </row>
    <row r="1348" spans="1:6" ht="18" customHeight="1">
      <c r="A1348" s="4" t="s">
        <v>40</v>
      </c>
      <c r="B1348" s="4" t="str">
        <f>"2020020618"</f>
        <v>2020020618</v>
      </c>
      <c r="C1348" s="5">
        <v>63.2</v>
      </c>
      <c r="D1348" s="6">
        <v>81</v>
      </c>
      <c r="E1348" s="7">
        <f t="shared" si="21"/>
        <v>144.19999999999999</v>
      </c>
      <c r="F1348" s="8"/>
    </row>
    <row r="1349" spans="1:6" ht="18" customHeight="1">
      <c r="A1349" s="4" t="s">
        <v>40</v>
      </c>
      <c r="B1349" s="4" t="str">
        <f>"2020045309"</f>
        <v>2020045309</v>
      </c>
      <c r="C1349" s="5">
        <v>74.7</v>
      </c>
      <c r="D1349" s="6">
        <v>69</v>
      </c>
      <c r="E1349" s="7">
        <f t="shared" si="21"/>
        <v>143.69999999999999</v>
      </c>
      <c r="F1349" s="8"/>
    </row>
    <row r="1350" spans="1:6" ht="18" customHeight="1">
      <c r="A1350" s="4" t="s">
        <v>40</v>
      </c>
      <c r="B1350" s="4" t="str">
        <f>"2020034003"</f>
        <v>2020034003</v>
      </c>
      <c r="C1350" s="5">
        <v>63.2</v>
      </c>
      <c r="D1350" s="6">
        <v>80.5</v>
      </c>
      <c r="E1350" s="7">
        <f t="shared" si="21"/>
        <v>143.69999999999999</v>
      </c>
      <c r="F1350" s="8"/>
    </row>
    <row r="1351" spans="1:6" ht="18" customHeight="1">
      <c r="A1351" s="4" t="s">
        <v>40</v>
      </c>
      <c r="B1351" s="4" t="str">
        <f>"2020024719"</f>
        <v>2020024719</v>
      </c>
      <c r="C1351" s="5">
        <v>71.099999999999994</v>
      </c>
      <c r="D1351" s="6">
        <v>72.5</v>
      </c>
      <c r="E1351" s="7">
        <f t="shared" si="21"/>
        <v>143.6</v>
      </c>
      <c r="F1351" s="8"/>
    </row>
    <row r="1352" spans="1:6" ht="18" customHeight="1">
      <c r="A1352" s="4" t="s">
        <v>40</v>
      </c>
      <c r="B1352" s="4" t="str">
        <f>"2020011617"</f>
        <v>2020011617</v>
      </c>
      <c r="C1352" s="5">
        <v>71</v>
      </c>
      <c r="D1352" s="6">
        <v>72</v>
      </c>
      <c r="E1352" s="7">
        <f t="shared" si="21"/>
        <v>143</v>
      </c>
      <c r="F1352" s="8"/>
    </row>
    <row r="1353" spans="1:6" ht="18" customHeight="1">
      <c r="A1353" s="4" t="s">
        <v>40</v>
      </c>
      <c r="B1353" s="4" t="str">
        <f>"2020031804"</f>
        <v>2020031804</v>
      </c>
      <c r="C1353" s="5">
        <v>72.3</v>
      </c>
      <c r="D1353" s="6">
        <v>70.5</v>
      </c>
      <c r="E1353" s="7">
        <f t="shared" si="21"/>
        <v>142.80000000000001</v>
      </c>
      <c r="F1353" s="8"/>
    </row>
    <row r="1354" spans="1:6" ht="18" customHeight="1">
      <c r="A1354" s="4" t="s">
        <v>40</v>
      </c>
      <c r="B1354" s="4" t="str">
        <f>"2020022829"</f>
        <v>2020022829</v>
      </c>
      <c r="C1354" s="5">
        <v>69.8</v>
      </c>
      <c r="D1354" s="6">
        <v>73</v>
      </c>
      <c r="E1354" s="7">
        <f t="shared" si="21"/>
        <v>142.80000000000001</v>
      </c>
      <c r="F1354" s="8"/>
    </row>
    <row r="1355" spans="1:6" ht="18" customHeight="1">
      <c r="A1355" s="4" t="s">
        <v>40</v>
      </c>
      <c r="B1355" s="4" t="str">
        <f>"2020043010"</f>
        <v>2020043010</v>
      </c>
      <c r="C1355" s="5">
        <v>60.3</v>
      </c>
      <c r="D1355" s="6">
        <v>82.5</v>
      </c>
      <c r="E1355" s="7">
        <f t="shared" si="21"/>
        <v>142.80000000000001</v>
      </c>
      <c r="F1355" s="8"/>
    </row>
    <row r="1356" spans="1:6" ht="18" customHeight="1">
      <c r="A1356" s="4" t="s">
        <v>40</v>
      </c>
      <c r="B1356" s="4" t="str">
        <f>"2020040925"</f>
        <v>2020040925</v>
      </c>
      <c r="C1356" s="5">
        <v>72.400000000000006</v>
      </c>
      <c r="D1356" s="6">
        <v>70</v>
      </c>
      <c r="E1356" s="7">
        <f t="shared" si="21"/>
        <v>142.4</v>
      </c>
      <c r="F1356" s="8"/>
    </row>
    <row r="1357" spans="1:6" ht="18" customHeight="1">
      <c r="A1357" s="4" t="s">
        <v>40</v>
      </c>
      <c r="B1357" s="4" t="str">
        <f>"2020040505"</f>
        <v>2020040505</v>
      </c>
      <c r="C1357" s="5">
        <v>74.3</v>
      </c>
      <c r="D1357" s="6">
        <v>68</v>
      </c>
      <c r="E1357" s="7">
        <f t="shared" si="21"/>
        <v>142.30000000000001</v>
      </c>
      <c r="F1357" s="8"/>
    </row>
    <row r="1358" spans="1:6" ht="18" customHeight="1">
      <c r="A1358" s="4" t="s">
        <v>40</v>
      </c>
      <c r="B1358" s="4" t="str">
        <f>"2020023814"</f>
        <v>2020023814</v>
      </c>
      <c r="C1358" s="5">
        <v>65.900000000000006</v>
      </c>
      <c r="D1358" s="6">
        <v>76</v>
      </c>
      <c r="E1358" s="7">
        <f t="shared" si="21"/>
        <v>141.9</v>
      </c>
      <c r="F1358" s="8"/>
    </row>
    <row r="1359" spans="1:6" ht="18" customHeight="1">
      <c r="A1359" s="4" t="s">
        <v>40</v>
      </c>
      <c r="B1359" s="4" t="str">
        <f>"2020033127"</f>
        <v>2020033127</v>
      </c>
      <c r="C1359" s="5">
        <v>67.3</v>
      </c>
      <c r="D1359" s="6">
        <v>74.5</v>
      </c>
      <c r="E1359" s="7">
        <f t="shared" si="21"/>
        <v>141.80000000000001</v>
      </c>
      <c r="F1359" s="8"/>
    </row>
    <row r="1360" spans="1:6" ht="18" customHeight="1">
      <c r="A1360" s="4" t="s">
        <v>40</v>
      </c>
      <c r="B1360" s="4" t="str">
        <f>"2020033310"</f>
        <v>2020033310</v>
      </c>
      <c r="C1360" s="5">
        <v>70.2</v>
      </c>
      <c r="D1360" s="6">
        <v>71.5</v>
      </c>
      <c r="E1360" s="7">
        <f t="shared" si="21"/>
        <v>141.69999999999999</v>
      </c>
      <c r="F1360" s="8"/>
    </row>
    <row r="1361" spans="1:6" ht="18" customHeight="1">
      <c r="A1361" s="4" t="s">
        <v>40</v>
      </c>
      <c r="B1361" s="4" t="str">
        <f>"2020011207"</f>
        <v>2020011207</v>
      </c>
      <c r="C1361" s="5">
        <v>74.099999999999994</v>
      </c>
      <c r="D1361" s="6">
        <v>67.5</v>
      </c>
      <c r="E1361" s="7">
        <f t="shared" si="21"/>
        <v>141.6</v>
      </c>
      <c r="F1361" s="8"/>
    </row>
    <row r="1362" spans="1:6" ht="18" customHeight="1">
      <c r="A1362" s="4" t="s">
        <v>40</v>
      </c>
      <c r="B1362" s="4" t="str">
        <f>"2020045312"</f>
        <v>2020045312</v>
      </c>
      <c r="C1362" s="5">
        <v>72.5</v>
      </c>
      <c r="D1362" s="6">
        <v>69</v>
      </c>
      <c r="E1362" s="7">
        <f t="shared" si="21"/>
        <v>141.5</v>
      </c>
      <c r="F1362" s="8"/>
    </row>
    <row r="1363" spans="1:6" ht="18" customHeight="1">
      <c r="A1363" s="4" t="s">
        <v>40</v>
      </c>
      <c r="B1363" s="4" t="str">
        <f>"2020043512"</f>
        <v>2020043512</v>
      </c>
      <c r="C1363" s="5">
        <v>71.3</v>
      </c>
      <c r="D1363" s="6">
        <v>70</v>
      </c>
      <c r="E1363" s="7">
        <f t="shared" si="21"/>
        <v>141.30000000000001</v>
      </c>
      <c r="F1363" s="8"/>
    </row>
    <row r="1364" spans="1:6" ht="18" customHeight="1">
      <c r="A1364" s="4" t="s">
        <v>40</v>
      </c>
      <c r="B1364" s="4" t="str">
        <f>"2020032910"</f>
        <v>2020032910</v>
      </c>
      <c r="C1364" s="5">
        <v>70.8</v>
      </c>
      <c r="D1364" s="6">
        <v>70.5</v>
      </c>
      <c r="E1364" s="7">
        <f t="shared" si="21"/>
        <v>141.30000000000001</v>
      </c>
      <c r="F1364" s="8"/>
    </row>
    <row r="1365" spans="1:6" ht="18" customHeight="1">
      <c r="A1365" s="4" t="s">
        <v>40</v>
      </c>
      <c r="B1365" s="4" t="str">
        <f>"2020033916"</f>
        <v>2020033916</v>
      </c>
      <c r="C1365" s="5">
        <v>63.5</v>
      </c>
      <c r="D1365" s="6">
        <v>77.5</v>
      </c>
      <c r="E1365" s="7">
        <f t="shared" si="21"/>
        <v>141</v>
      </c>
      <c r="F1365" s="8"/>
    </row>
    <row r="1366" spans="1:6" ht="18" customHeight="1">
      <c r="A1366" s="4" t="s">
        <v>40</v>
      </c>
      <c r="B1366" s="4" t="str">
        <f>"2020012405"</f>
        <v>2020012405</v>
      </c>
      <c r="C1366" s="5">
        <v>71.2</v>
      </c>
      <c r="D1366" s="6">
        <v>69.5</v>
      </c>
      <c r="E1366" s="7">
        <f t="shared" si="21"/>
        <v>140.69999999999999</v>
      </c>
      <c r="F1366" s="8"/>
    </row>
    <row r="1367" spans="1:6" ht="18" customHeight="1">
      <c r="A1367" s="4" t="s">
        <v>40</v>
      </c>
      <c r="B1367" s="4" t="str">
        <f>"2020022520"</f>
        <v>2020022520</v>
      </c>
      <c r="C1367" s="5">
        <v>76.599999999999994</v>
      </c>
      <c r="D1367" s="6">
        <v>64</v>
      </c>
      <c r="E1367" s="7">
        <f t="shared" si="21"/>
        <v>140.6</v>
      </c>
      <c r="F1367" s="8"/>
    </row>
    <row r="1368" spans="1:6" ht="18" customHeight="1">
      <c r="A1368" s="4" t="s">
        <v>40</v>
      </c>
      <c r="B1368" s="4" t="str">
        <f>"2020011715"</f>
        <v>2020011715</v>
      </c>
      <c r="C1368" s="5">
        <v>68.599999999999994</v>
      </c>
      <c r="D1368" s="6">
        <v>72</v>
      </c>
      <c r="E1368" s="7">
        <f t="shared" si="21"/>
        <v>140.6</v>
      </c>
      <c r="F1368" s="8"/>
    </row>
    <row r="1369" spans="1:6" ht="18" customHeight="1">
      <c r="A1369" s="4" t="s">
        <v>40</v>
      </c>
      <c r="B1369" s="4" t="str">
        <f>"2020024210"</f>
        <v>2020024210</v>
      </c>
      <c r="C1369" s="5">
        <v>74</v>
      </c>
      <c r="D1369" s="6">
        <v>66.5</v>
      </c>
      <c r="E1369" s="7">
        <f t="shared" si="21"/>
        <v>140.5</v>
      </c>
      <c r="F1369" s="8"/>
    </row>
    <row r="1370" spans="1:6" ht="18" customHeight="1">
      <c r="A1370" s="4" t="s">
        <v>40</v>
      </c>
      <c r="B1370" s="4" t="str">
        <f>"2020023613"</f>
        <v>2020023613</v>
      </c>
      <c r="C1370" s="5">
        <v>71.400000000000006</v>
      </c>
      <c r="D1370" s="6">
        <v>69</v>
      </c>
      <c r="E1370" s="7">
        <f t="shared" si="21"/>
        <v>140.4</v>
      </c>
      <c r="F1370" s="8"/>
    </row>
    <row r="1371" spans="1:6" ht="18" customHeight="1">
      <c r="A1371" s="4" t="s">
        <v>40</v>
      </c>
      <c r="B1371" s="4" t="str">
        <f>"2020023207"</f>
        <v>2020023207</v>
      </c>
      <c r="C1371" s="5">
        <v>68.5</v>
      </c>
      <c r="D1371" s="6">
        <v>71.5</v>
      </c>
      <c r="E1371" s="7">
        <f t="shared" si="21"/>
        <v>140</v>
      </c>
      <c r="F1371" s="8"/>
    </row>
    <row r="1372" spans="1:6" ht="18" customHeight="1">
      <c r="A1372" s="4" t="s">
        <v>40</v>
      </c>
      <c r="B1372" s="4" t="str">
        <f>"2020011203"</f>
        <v>2020011203</v>
      </c>
      <c r="C1372" s="5">
        <v>67.400000000000006</v>
      </c>
      <c r="D1372" s="6">
        <v>72.5</v>
      </c>
      <c r="E1372" s="7">
        <f t="shared" si="21"/>
        <v>139.9</v>
      </c>
      <c r="F1372" s="8"/>
    </row>
    <row r="1373" spans="1:6" ht="18" customHeight="1">
      <c r="A1373" s="4" t="s">
        <v>40</v>
      </c>
      <c r="B1373" s="4" t="str">
        <f>"2020046330"</f>
        <v>2020046330</v>
      </c>
      <c r="C1373" s="5">
        <v>69.3</v>
      </c>
      <c r="D1373" s="6">
        <v>70.5</v>
      </c>
      <c r="E1373" s="7">
        <f t="shared" si="21"/>
        <v>139.80000000000001</v>
      </c>
      <c r="F1373" s="8"/>
    </row>
    <row r="1374" spans="1:6" ht="18" customHeight="1">
      <c r="A1374" s="4" t="s">
        <v>40</v>
      </c>
      <c r="B1374" s="4" t="str">
        <f>"2020040103"</f>
        <v>2020040103</v>
      </c>
      <c r="C1374" s="5">
        <v>72.8</v>
      </c>
      <c r="D1374" s="6">
        <v>66.5</v>
      </c>
      <c r="E1374" s="7">
        <f t="shared" si="21"/>
        <v>139.30000000000001</v>
      </c>
      <c r="F1374" s="8"/>
    </row>
    <row r="1375" spans="1:6" ht="18" customHeight="1">
      <c r="A1375" s="4" t="s">
        <v>40</v>
      </c>
      <c r="B1375" s="4" t="str">
        <f>"2020012623"</f>
        <v>2020012623</v>
      </c>
      <c r="C1375" s="5">
        <v>64.8</v>
      </c>
      <c r="D1375" s="6">
        <v>74.5</v>
      </c>
      <c r="E1375" s="7">
        <f t="shared" si="21"/>
        <v>139.30000000000001</v>
      </c>
      <c r="F1375" s="8"/>
    </row>
    <row r="1376" spans="1:6" ht="18" customHeight="1">
      <c r="A1376" s="4" t="s">
        <v>40</v>
      </c>
      <c r="B1376" s="4" t="str">
        <f>"2020047502"</f>
        <v>2020047502</v>
      </c>
      <c r="C1376" s="5">
        <v>74.900000000000006</v>
      </c>
      <c r="D1376" s="6">
        <v>64</v>
      </c>
      <c r="E1376" s="7">
        <f t="shared" si="21"/>
        <v>138.9</v>
      </c>
      <c r="F1376" s="8"/>
    </row>
    <row r="1377" spans="1:6" ht="18" customHeight="1">
      <c r="A1377" s="4" t="s">
        <v>40</v>
      </c>
      <c r="B1377" s="4" t="str">
        <f>"2020042620"</f>
        <v>2020042620</v>
      </c>
      <c r="C1377" s="5">
        <v>70.8</v>
      </c>
      <c r="D1377" s="6">
        <v>68</v>
      </c>
      <c r="E1377" s="7">
        <f t="shared" si="21"/>
        <v>138.80000000000001</v>
      </c>
      <c r="F1377" s="8"/>
    </row>
    <row r="1378" spans="1:6" ht="18" customHeight="1">
      <c r="A1378" s="4" t="s">
        <v>40</v>
      </c>
      <c r="B1378" s="4" t="str">
        <f>"2020032913"</f>
        <v>2020032913</v>
      </c>
      <c r="C1378" s="5">
        <v>67.400000000000006</v>
      </c>
      <c r="D1378" s="6">
        <v>71</v>
      </c>
      <c r="E1378" s="7">
        <f t="shared" si="21"/>
        <v>138.4</v>
      </c>
      <c r="F1378" s="8"/>
    </row>
    <row r="1379" spans="1:6" ht="18" customHeight="1">
      <c r="A1379" s="4" t="s">
        <v>40</v>
      </c>
      <c r="B1379" s="4" t="str">
        <f>"2020045311"</f>
        <v>2020045311</v>
      </c>
      <c r="C1379" s="5">
        <v>60.7</v>
      </c>
      <c r="D1379" s="6">
        <v>77.5</v>
      </c>
      <c r="E1379" s="7">
        <f t="shared" si="21"/>
        <v>138.19999999999999</v>
      </c>
      <c r="F1379" s="8"/>
    </row>
    <row r="1380" spans="1:6" ht="18" customHeight="1">
      <c r="A1380" s="4" t="s">
        <v>40</v>
      </c>
      <c r="B1380" s="4" t="str">
        <f>"2020031714"</f>
        <v>2020031714</v>
      </c>
      <c r="C1380" s="5">
        <v>67.099999999999994</v>
      </c>
      <c r="D1380" s="6">
        <v>71</v>
      </c>
      <c r="E1380" s="7">
        <f t="shared" si="21"/>
        <v>138.1</v>
      </c>
      <c r="F1380" s="8"/>
    </row>
    <row r="1381" spans="1:6" ht="18" customHeight="1">
      <c r="A1381" s="4" t="s">
        <v>40</v>
      </c>
      <c r="B1381" s="4" t="str">
        <f>"2020013227"</f>
        <v>2020013227</v>
      </c>
      <c r="C1381" s="5">
        <v>64.599999999999994</v>
      </c>
      <c r="D1381" s="6">
        <v>73.5</v>
      </c>
      <c r="E1381" s="7">
        <f t="shared" si="21"/>
        <v>138.1</v>
      </c>
      <c r="F1381" s="8"/>
    </row>
    <row r="1382" spans="1:6" ht="18" customHeight="1">
      <c r="A1382" s="4" t="s">
        <v>40</v>
      </c>
      <c r="B1382" s="4" t="str">
        <f>"2020041101"</f>
        <v>2020041101</v>
      </c>
      <c r="C1382" s="5">
        <v>68.5</v>
      </c>
      <c r="D1382" s="6">
        <v>69.5</v>
      </c>
      <c r="E1382" s="7">
        <f t="shared" si="21"/>
        <v>138</v>
      </c>
      <c r="F1382" s="8"/>
    </row>
    <row r="1383" spans="1:6" ht="18" customHeight="1">
      <c r="A1383" s="4" t="s">
        <v>40</v>
      </c>
      <c r="B1383" s="4" t="str">
        <f>"2020023216"</f>
        <v>2020023216</v>
      </c>
      <c r="C1383" s="5">
        <v>66.2</v>
      </c>
      <c r="D1383" s="6">
        <v>71.5</v>
      </c>
      <c r="E1383" s="7">
        <f t="shared" si="21"/>
        <v>137.69999999999999</v>
      </c>
      <c r="F1383" s="8"/>
    </row>
    <row r="1384" spans="1:6" ht="18" customHeight="1">
      <c r="A1384" s="4" t="s">
        <v>40</v>
      </c>
      <c r="B1384" s="4" t="str">
        <f>"2020021328"</f>
        <v>2020021328</v>
      </c>
      <c r="C1384" s="5">
        <v>71.5</v>
      </c>
      <c r="D1384" s="6">
        <v>66</v>
      </c>
      <c r="E1384" s="7">
        <f t="shared" si="21"/>
        <v>137.5</v>
      </c>
      <c r="F1384" s="8"/>
    </row>
    <row r="1385" spans="1:6" ht="18" customHeight="1">
      <c r="A1385" s="4" t="s">
        <v>40</v>
      </c>
      <c r="B1385" s="4" t="str">
        <f>"2020032503"</f>
        <v>2020032503</v>
      </c>
      <c r="C1385" s="5">
        <v>68.400000000000006</v>
      </c>
      <c r="D1385" s="6">
        <v>69</v>
      </c>
      <c r="E1385" s="7">
        <f t="shared" si="21"/>
        <v>137.4</v>
      </c>
      <c r="F1385" s="8"/>
    </row>
    <row r="1386" spans="1:6" ht="18" customHeight="1">
      <c r="A1386" s="4" t="s">
        <v>40</v>
      </c>
      <c r="B1386" s="4" t="str">
        <f>"2020020612"</f>
        <v>2020020612</v>
      </c>
      <c r="C1386" s="5">
        <v>67.3</v>
      </c>
      <c r="D1386" s="6">
        <v>70</v>
      </c>
      <c r="E1386" s="7">
        <f t="shared" si="21"/>
        <v>137.30000000000001</v>
      </c>
      <c r="F1386" s="8"/>
    </row>
    <row r="1387" spans="1:6" ht="18" customHeight="1">
      <c r="A1387" s="4" t="s">
        <v>40</v>
      </c>
      <c r="B1387" s="4" t="str">
        <f>"2020011410"</f>
        <v>2020011410</v>
      </c>
      <c r="C1387" s="5">
        <v>67.2</v>
      </c>
      <c r="D1387" s="6">
        <v>70</v>
      </c>
      <c r="E1387" s="7">
        <f t="shared" si="21"/>
        <v>137.19999999999999</v>
      </c>
      <c r="F1387" s="8"/>
    </row>
    <row r="1388" spans="1:6" ht="18" customHeight="1">
      <c r="A1388" s="4" t="s">
        <v>40</v>
      </c>
      <c r="B1388" s="4" t="str">
        <f>"2020045902"</f>
        <v>2020045902</v>
      </c>
      <c r="C1388" s="5">
        <v>65.2</v>
      </c>
      <c r="D1388" s="6">
        <v>72</v>
      </c>
      <c r="E1388" s="7">
        <f t="shared" si="21"/>
        <v>137.19999999999999</v>
      </c>
      <c r="F1388" s="8"/>
    </row>
    <row r="1389" spans="1:6" ht="18" customHeight="1">
      <c r="A1389" s="4" t="s">
        <v>40</v>
      </c>
      <c r="B1389" s="4" t="str">
        <f>"2020040530"</f>
        <v>2020040530</v>
      </c>
      <c r="C1389" s="5">
        <v>71.599999999999994</v>
      </c>
      <c r="D1389" s="6">
        <v>65.5</v>
      </c>
      <c r="E1389" s="7">
        <f t="shared" si="21"/>
        <v>137.1</v>
      </c>
      <c r="F1389" s="8"/>
    </row>
    <row r="1390" spans="1:6" ht="18" customHeight="1">
      <c r="A1390" s="4" t="s">
        <v>40</v>
      </c>
      <c r="B1390" s="4" t="str">
        <f>"2020013405"</f>
        <v>2020013405</v>
      </c>
      <c r="C1390" s="5">
        <v>66.099999999999994</v>
      </c>
      <c r="D1390" s="6">
        <v>71</v>
      </c>
      <c r="E1390" s="7">
        <f t="shared" si="21"/>
        <v>137.1</v>
      </c>
      <c r="F1390" s="8"/>
    </row>
    <row r="1391" spans="1:6" ht="18" customHeight="1">
      <c r="A1391" s="4" t="s">
        <v>40</v>
      </c>
      <c r="B1391" s="4" t="str">
        <f>"2020012720"</f>
        <v>2020012720</v>
      </c>
      <c r="C1391" s="5">
        <v>57.6</v>
      </c>
      <c r="D1391" s="6">
        <v>79</v>
      </c>
      <c r="E1391" s="7">
        <f t="shared" si="21"/>
        <v>136.6</v>
      </c>
      <c r="F1391" s="8"/>
    </row>
    <row r="1392" spans="1:6" ht="18" customHeight="1">
      <c r="A1392" s="4" t="s">
        <v>40</v>
      </c>
      <c r="B1392" s="4" t="str">
        <f>"2020020311"</f>
        <v>2020020311</v>
      </c>
      <c r="C1392" s="5">
        <v>67.400000000000006</v>
      </c>
      <c r="D1392" s="6">
        <v>69</v>
      </c>
      <c r="E1392" s="7">
        <f t="shared" si="21"/>
        <v>136.4</v>
      </c>
      <c r="F1392" s="8"/>
    </row>
    <row r="1393" spans="1:6" ht="18" customHeight="1">
      <c r="A1393" s="4" t="s">
        <v>40</v>
      </c>
      <c r="B1393" s="4" t="str">
        <f>"2020046326"</f>
        <v>2020046326</v>
      </c>
      <c r="C1393" s="5">
        <v>63</v>
      </c>
      <c r="D1393" s="6">
        <v>73</v>
      </c>
      <c r="E1393" s="7">
        <f t="shared" si="21"/>
        <v>136</v>
      </c>
      <c r="F1393" s="8"/>
    </row>
    <row r="1394" spans="1:6" ht="18" customHeight="1">
      <c r="A1394" s="4" t="s">
        <v>40</v>
      </c>
      <c r="B1394" s="4" t="str">
        <f>"2020040704"</f>
        <v>2020040704</v>
      </c>
      <c r="C1394" s="5">
        <v>73.2</v>
      </c>
      <c r="D1394" s="6">
        <v>62.5</v>
      </c>
      <c r="E1394" s="7">
        <f t="shared" si="21"/>
        <v>135.69999999999999</v>
      </c>
      <c r="F1394" s="8"/>
    </row>
    <row r="1395" spans="1:6" ht="18" customHeight="1">
      <c r="A1395" s="4" t="s">
        <v>40</v>
      </c>
      <c r="B1395" s="4" t="str">
        <f>"2020012711"</f>
        <v>2020012711</v>
      </c>
      <c r="C1395" s="5">
        <v>69.2</v>
      </c>
      <c r="D1395" s="6">
        <v>66.5</v>
      </c>
      <c r="E1395" s="7">
        <f t="shared" si="21"/>
        <v>135.69999999999999</v>
      </c>
      <c r="F1395" s="8"/>
    </row>
    <row r="1396" spans="1:6" ht="18" customHeight="1">
      <c r="A1396" s="4" t="s">
        <v>40</v>
      </c>
      <c r="B1396" s="4" t="str">
        <f>"2020041213"</f>
        <v>2020041213</v>
      </c>
      <c r="C1396" s="5">
        <v>62.9</v>
      </c>
      <c r="D1396" s="6">
        <v>71.5</v>
      </c>
      <c r="E1396" s="7">
        <f t="shared" si="21"/>
        <v>134.4</v>
      </c>
      <c r="F1396" s="8"/>
    </row>
    <row r="1397" spans="1:6" ht="18" customHeight="1">
      <c r="A1397" s="4" t="s">
        <v>40</v>
      </c>
      <c r="B1397" s="4" t="str">
        <f>"2020024806"</f>
        <v>2020024806</v>
      </c>
      <c r="C1397" s="5">
        <v>62.4</v>
      </c>
      <c r="D1397" s="6">
        <v>72</v>
      </c>
      <c r="E1397" s="7">
        <f t="shared" si="21"/>
        <v>134.4</v>
      </c>
      <c r="F1397" s="8"/>
    </row>
    <row r="1398" spans="1:6" ht="18" customHeight="1">
      <c r="A1398" s="4" t="s">
        <v>40</v>
      </c>
      <c r="B1398" s="4" t="str">
        <f>"2020010117"</f>
        <v>2020010117</v>
      </c>
      <c r="C1398" s="5">
        <v>67.599999999999994</v>
      </c>
      <c r="D1398" s="6">
        <v>66.5</v>
      </c>
      <c r="E1398" s="7">
        <f t="shared" si="21"/>
        <v>134.1</v>
      </c>
      <c r="F1398" s="8"/>
    </row>
    <row r="1399" spans="1:6" ht="18" customHeight="1">
      <c r="A1399" s="4" t="s">
        <v>40</v>
      </c>
      <c r="B1399" s="4" t="str">
        <f>"2020030605"</f>
        <v>2020030605</v>
      </c>
      <c r="C1399" s="5">
        <v>66.400000000000006</v>
      </c>
      <c r="D1399" s="6">
        <v>66.5</v>
      </c>
      <c r="E1399" s="7">
        <f t="shared" si="21"/>
        <v>132.9</v>
      </c>
      <c r="F1399" s="8"/>
    </row>
    <row r="1400" spans="1:6" ht="18" customHeight="1">
      <c r="A1400" s="4" t="s">
        <v>40</v>
      </c>
      <c r="B1400" s="4" t="str">
        <f>"2020045210"</f>
        <v>2020045210</v>
      </c>
      <c r="C1400" s="5">
        <v>63.4</v>
      </c>
      <c r="D1400" s="6">
        <v>69.5</v>
      </c>
      <c r="E1400" s="7">
        <f t="shared" si="21"/>
        <v>132.9</v>
      </c>
      <c r="F1400" s="8"/>
    </row>
    <row r="1401" spans="1:6" ht="18" customHeight="1">
      <c r="A1401" s="4" t="s">
        <v>40</v>
      </c>
      <c r="B1401" s="4" t="str">
        <f>"2020044527"</f>
        <v>2020044527</v>
      </c>
      <c r="C1401" s="5">
        <v>66.3</v>
      </c>
      <c r="D1401" s="6">
        <v>66.5</v>
      </c>
      <c r="E1401" s="7">
        <f t="shared" si="21"/>
        <v>132.80000000000001</v>
      </c>
      <c r="F1401" s="8"/>
    </row>
    <row r="1402" spans="1:6" ht="18" customHeight="1">
      <c r="A1402" s="4" t="s">
        <v>40</v>
      </c>
      <c r="B1402" s="4" t="str">
        <f>"2020013728"</f>
        <v>2020013728</v>
      </c>
      <c r="C1402" s="5">
        <v>57.7</v>
      </c>
      <c r="D1402" s="6">
        <v>75</v>
      </c>
      <c r="E1402" s="7">
        <f t="shared" si="21"/>
        <v>132.69999999999999</v>
      </c>
      <c r="F1402" s="8"/>
    </row>
    <row r="1403" spans="1:6" ht="18" customHeight="1">
      <c r="A1403" s="4" t="s">
        <v>40</v>
      </c>
      <c r="B1403" s="4" t="str">
        <f>"2020023617"</f>
        <v>2020023617</v>
      </c>
      <c r="C1403" s="5">
        <v>64.599999999999994</v>
      </c>
      <c r="D1403" s="6">
        <v>68</v>
      </c>
      <c r="E1403" s="7">
        <f t="shared" si="21"/>
        <v>132.6</v>
      </c>
      <c r="F1403" s="8"/>
    </row>
    <row r="1404" spans="1:6" ht="18" customHeight="1">
      <c r="A1404" s="4" t="s">
        <v>40</v>
      </c>
      <c r="B1404" s="4" t="str">
        <f>"2020033723"</f>
        <v>2020033723</v>
      </c>
      <c r="C1404" s="5">
        <v>61.5</v>
      </c>
      <c r="D1404" s="6">
        <v>71</v>
      </c>
      <c r="E1404" s="7">
        <f t="shared" si="21"/>
        <v>132.5</v>
      </c>
      <c r="F1404" s="8"/>
    </row>
    <row r="1405" spans="1:6" ht="18" customHeight="1">
      <c r="A1405" s="4" t="s">
        <v>40</v>
      </c>
      <c r="B1405" s="4" t="str">
        <f>"2020046412"</f>
        <v>2020046412</v>
      </c>
      <c r="C1405" s="5">
        <v>70.400000000000006</v>
      </c>
      <c r="D1405" s="6">
        <v>62</v>
      </c>
      <c r="E1405" s="7">
        <f t="shared" si="21"/>
        <v>132.4</v>
      </c>
      <c r="F1405" s="8"/>
    </row>
    <row r="1406" spans="1:6" ht="18" customHeight="1">
      <c r="A1406" s="4" t="s">
        <v>40</v>
      </c>
      <c r="B1406" s="4" t="str">
        <f>"2020045326"</f>
        <v>2020045326</v>
      </c>
      <c r="C1406" s="5">
        <v>70.7</v>
      </c>
      <c r="D1406" s="6">
        <v>61.5</v>
      </c>
      <c r="E1406" s="7">
        <f t="shared" si="21"/>
        <v>132.19999999999999</v>
      </c>
      <c r="F1406" s="8"/>
    </row>
    <row r="1407" spans="1:6" ht="18" customHeight="1">
      <c r="A1407" s="4" t="s">
        <v>40</v>
      </c>
      <c r="B1407" s="4" t="str">
        <f>"2020020411"</f>
        <v>2020020411</v>
      </c>
      <c r="C1407" s="5">
        <v>70</v>
      </c>
      <c r="D1407" s="6">
        <v>62</v>
      </c>
      <c r="E1407" s="7">
        <f t="shared" si="21"/>
        <v>132</v>
      </c>
      <c r="F1407" s="8"/>
    </row>
    <row r="1408" spans="1:6" ht="18" customHeight="1">
      <c r="A1408" s="4" t="s">
        <v>40</v>
      </c>
      <c r="B1408" s="4" t="str">
        <f>"2020031518"</f>
        <v>2020031518</v>
      </c>
      <c r="C1408" s="5">
        <v>73.8</v>
      </c>
      <c r="D1408" s="6">
        <v>58</v>
      </c>
      <c r="E1408" s="7">
        <f t="shared" si="21"/>
        <v>131.80000000000001</v>
      </c>
      <c r="F1408" s="8"/>
    </row>
    <row r="1409" spans="1:6" ht="18" customHeight="1">
      <c r="A1409" s="4" t="s">
        <v>40</v>
      </c>
      <c r="B1409" s="4" t="str">
        <f>"2020033511"</f>
        <v>2020033511</v>
      </c>
      <c r="C1409" s="5">
        <v>70.7</v>
      </c>
      <c r="D1409" s="6">
        <v>61</v>
      </c>
      <c r="E1409" s="7">
        <f t="shared" si="21"/>
        <v>131.69999999999999</v>
      </c>
      <c r="F1409" s="8"/>
    </row>
    <row r="1410" spans="1:6" ht="18" customHeight="1">
      <c r="A1410" s="4" t="s">
        <v>40</v>
      </c>
      <c r="B1410" s="4" t="str">
        <f>"2020031006"</f>
        <v>2020031006</v>
      </c>
      <c r="C1410" s="5">
        <v>63.1</v>
      </c>
      <c r="D1410" s="6">
        <v>68.5</v>
      </c>
      <c r="E1410" s="7">
        <f t="shared" si="21"/>
        <v>131.6</v>
      </c>
      <c r="F1410" s="8"/>
    </row>
    <row r="1411" spans="1:6" ht="18" customHeight="1">
      <c r="A1411" s="4" t="s">
        <v>40</v>
      </c>
      <c r="B1411" s="4" t="str">
        <f>"2020041411"</f>
        <v>2020041411</v>
      </c>
      <c r="C1411" s="5">
        <v>60.1</v>
      </c>
      <c r="D1411" s="6">
        <v>71.5</v>
      </c>
      <c r="E1411" s="7">
        <f t="shared" ref="E1411:E1474" si="22">SUM(C1411:D1411)</f>
        <v>131.6</v>
      </c>
      <c r="F1411" s="8"/>
    </row>
    <row r="1412" spans="1:6" ht="18" customHeight="1">
      <c r="A1412" s="4" t="s">
        <v>40</v>
      </c>
      <c r="B1412" s="4" t="str">
        <f>"2020042414"</f>
        <v>2020042414</v>
      </c>
      <c r="C1412" s="5">
        <v>74.5</v>
      </c>
      <c r="D1412" s="6">
        <v>57</v>
      </c>
      <c r="E1412" s="7">
        <f t="shared" si="22"/>
        <v>131.5</v>
      </c>
      <c r="F1412" s="8"/>
    </row>
    <row r="1413" spans="1:6" ht="18" customHeight="1">
      <c r="A1413" s="4" t="s">
        <v>40</v>
      </c>
      <c r="B1413" s="4" t="str">
        <f>"2020020122"</f>
        <v>2020020122</v>
      </c>
      <c r="C1413" s="5">
        <v>62.5</v>
      </c>
      <c r="D1413" s="6">
        <v>69</v>
      </c>
      <c r="E1413" s="7">
        <f t="shared" si="22"/>
        <v>131.5</v>
      </c>
      <c r="F1413" s="8"/>
    </row>
    <row r="1414" spans="1:6" ht="18" customHeight="1">
      <c r="A1414" s="4" t="s">
        <v>40</v>
      </c>
      <c r="B1414" s="4" t="str">
        <f>"2020032628"</f>
        <v>2020032628</v>
      </c>
      <c r="C1414" s="5">
        <v>64.599999999999994</v>
      </c>
      <c r="D1414" s="6">
        <v>66.5</v>
      </c>
      <c r="E1414" s="7">
        <f t="shared" si="22"/>
        <v>131.1</v>
      </c>
      <c r="F1414" s="8"/>
    </row>
    <row r="1415" spans="1:6" ht="18" customHeight="1">
      <c r="A1415" s="4" t="s">
        <v>40</v>
      </c>
      <c r="B1415" s="4" t="str">
        <f>"2020020408"</f>
        <v>2020020408</v>
      </c>
      <c r="C1415" s="5">
        <v>59.3</v>
      </c>
      <c r="D1415" s="6">
        <v>71.5</v>
      </c>
      <c r="E1415" s="7">
        <f t="shared" si="22"/>
        <v>130.80000000000001</v>
      </c>
      <c r="F1415" s="8"/>
    </row>
    <row r="1416" spans="1:6" ht="18" customHeight="1">
      <c r="A1416" s="4" t="s">
        <v>40</v>
      </c>
      <c r="B1416" s="4" t="str">
        <f>"2020022519"</f>
        <v>2020022519</v>
      </c>
      <c r="C1416" s="5">
        <v>70.599999999999994</v>
      </c>
      <c r="D1416" s="6">
        <v>60</v>
      </c>
      <c r="E1416" s="7">
        <f t="shared" si="22"/>
        <v>130.6</v>
      </c>
      <c r="F1416" s="8"/>
    </row>
    <row r="1417" spans="1:6" ht="18" customHeight="1">
      <c r="A1417" s="4" t="s">
        <v>40</v>
      </c>
      <c r="B1417" s="4" t="str">
        <f>"2020022321"</f>
        <v>2020022321</v>
      </c>
      <c r="C1417" s="5">
        <v>58.3</v>
      </c>
      <c r="D1417" s="6">
        <v>72</v>
      </c>
      <c r="E1417" s="7">
        <f t="shared" si="22"/>
        <v>130.30000000000001</v>
      </c>
      <c r="F1417" s="8"/>
    </row>
    <row r="1418" spans="1:6" ht="18" customHeight="1">
      <c r="A1418" s="4" t="s">
        <v>40</v>
      </c>
      <c r="B1418" s="4" t="str">
        <f>"2020030628"</f>
        <v>2020030628</v>
      </c>
      <c r="C1418" s="5">
        <v>64.099999999999994</v>
      </c>
      <c r="D1418" s="6">
        <v>66</v>
      </c>
      <c r="E1418" s="7">
        <f t="shared" si="22"/>
        <v>130.1</v>
      </c>
      <c r="F1418" s="8"/>
    </row>
    <row r="1419" spans="1:6" ht="18" customHeight="1">
      <c r="A1419" s="4" t="s">
        <v>40</v>
      </c>
      <c r="B1419" s="4" t="str">
        <f>"2020042826"</f>
        <v>2020042826</v>
      </c>
      <c r="C1419" s="5">
        <v>68.5</v>
      </c>
      <c r="D1419" s="6">
        <v>61.5</v>
      </c>
      <c r="E1419" s="7">
        <f t="shared" si="22"/>
        <v>130</v>
      </c>
      <c r="F1419" s="8"/>
    </row>
    <row r="1420" spans="1:6" ht="18" customHeight="1">
      <c r="A1420" s="4" t="s">
        <v>40</v>
      </c>
      <c r="B1420" s="4" t="str">
        <f>"2020010812"</f>
        <v>2020010812</v>
      </c>
      <c r="C1420" s="5">
        <v>70.400000000000006</v>
      </c>
      <c r="D1420" s="6">
        <v>59</v>
      </c>
      <c r="E1420" s="7">
        <f t="shared" si="22"/>
        <v>129.4</v>
      </c>
      <c r="F1420" s="8"/>
    </row>
    <row r="1421" spans="1:6" ht="18" customHeight="1">
      <c r="A1421" s="4" t="s">
        <v>40</v>
      </c>
      <c r="B1421" s="4" t="str">
        <f>"2020045229"</f>
        <v>2020045229</v>
      </c>
      <c r="C1421" s="5">
        <v>68.099999999999994</v>
      </c>
      <c r="D1421" s="6">
        <v>61</v>
      </c>
      <c r="E1421" s="7">
        <f t="shared" si="22"/>
        <v>129.1</v>
      </c>
      <c r="F1421" s="8"/>
    </row>
    <row r="1422" spans="1:6" ht="18" customHeight="1">
      <c r="A1422" s="4" t="s">
        <v>40</v>
      </c>
      <c r="B1422" s="4" t="str">
        <f>"2020011226"</f>
        <v>2020011226</v>
      </c>
      <c r="C1422" s="5">
        <v>67.599999999999994</v>
      </c>
      <c r="D1422" s="6">
        <v>61</v>
      </c>
      <c r="E1422" s="7">
        <f t="shared" si="22"/>
        <v>128.6</v>
      </c>
      <c r="F1422" s="8"/>
    </row>
    <row r="1423" spans="1:6" ht="18" customHeight="1">
      <c r="A1423" s="4" t="s">
        <v>40</v>
      </c>
      <c r="B1423" s="4" t="str">
        <f>"2020012721"</f>
        <v>2020012721</v>
      </c>
      <c r="C1423" s="5">
        <v>68</v>
      </c>
      <c r="D1423" s="6">
        <v>60.5</v>
      </c>
      <c r="E1423" s="7">
        <f t="shared" si="22"/>
        <v>128.5</v>
      </c>
      <c r="F1423" s="8"/>
    </row>
    <row r="1424" spans="1:6" ht="18" customHeight="1">
      <c r="A1424" s="4" t="s">
        <v>40</v>
      </c>
      <c r="B1424" s="4" t="str">
        <f>"2020030427"</f>
        <v>2020030427</v>
      </c>
      <c r="C1424" s="5">
        <v>62.4</v>
      </c>
      <c r="D1424" s="6">
        <v>66</v>
      </c>
      <c r="E1424" s="7">
        <f t="shared" si="22"/>
        <v>128.4</v>
      </c>
      <c r="F1424" s="8"/>
    </row>
    <row r="1425" spans="1:6" ht="18" customHeight="1">
      <c r="A1425" s="4" t="s">
        <v>40</v>
      </c>
      <c r="B1425" s="4" t="str">
        <f>"2020042927"</f>
        <v>2020042927</v>
      </c>
      <c r="C1425" s="5">
        <v>61.7</v>
      </c>
      <c r="D1425" s="6">
        <v>66.5</v>
      </c>
      <c r="E1425" s="7">
        <f t="shared" si="22"/>
        <v>128.19999999999999</v>
      </c>
      <c r="F1425" s="8"/>
    </row>
    <row r="1426" spans="1:6" ht="18" customHeight="1">
      <c r="A1426" s="4" t="s">
        <v>40</v>
      </c>
      <c r="B1426" s="4" t="str">
        <f>"2020013812"</f>
        <v>2020013812</v>
      </c>
      <c r="C1426" s="5">
        <v>65.400000000000006</v>
      </c>
      <c r="D1426" s="6">
        <v>62.5</v>
      </c>
      <c r="E1426" s="7">
        <f t="shared" si="22"/>
        <v>127.9</v>
      </c>
      <c r="F1426" s="8"/>
    </row>
    <row r="1427" spans="1:6" ht="18" customHeight="1">
      <c r="A1427" s="4" t="s">
        <v>40</v>
      </c>
      <c r="B1427" s="4" t="str">
        <f>"2020046618"</f>
        <v>2020046618</v>
      </c>
      <c r="C1427" s="5">
        <v>62.9</v>
      </c>
      <c r="D1427" s="6">
        <v>65</v>
      </c>
      <c r="E1427" s="7">
        <f t="shared" si="22"/>
        <v>127.9</v>
      </c>
      <c r="F1427" s="8"/>
    </row>
    <row r="1428" spans="1:6" ht="18" customHeight="1">
      <c r="A1428" s="4" t="s">
        <v>40</v>
      </c>
      <c r="B1428" s="4" t="str">
        <f>"2020024409"</f>
        <v>2020024409</v>
      </c>
      <c r="C1428" s="5">
        <v>69.3</v>
      </c>
      <c r="D1428" s="6">
        <v>58</v>
      </c>
      <c r="E1428" s="7">
        <f t="shared" si="22"/>
        <v>127.3</v>
      </c>
      <c r="F1428" s="8"/>
    </row>
    <row r="1429" spans="1:6" ht="18" customHeight="1">
      <c r="A1429" s="4" t="s">
        <v>40</v>
      </c>
      <c r="B1429" s="4" t="str">
        <f>"2020032424"</f>
        <v>2020032424</v>
      </c>
      <c r="C1429" s="5">
        <v>65</v>
      </c>
      <c r="D1429" s="6">
        <v>62</v>
      </c>
      <c r="E1429" s="7">
        <f t="shared" si="22"/>
        <v>127</v>
      </c>
      <c r="F1429" s="8"/>
    </row>
    <row r="1430" spans="1:6" ht="18" customHeight="1">
      <c r="A1430" s="4" t="s">
        <v>40</v>
      </c>
      <c r="B1430" s="4" t="str">
        <f>"2020033218"</f>
        <v>2020033218</v>
      </c>
      <c r="C1430" s="5">
        <v>64.5</v>
      </c>
      <c r="D1430" s="6">
        <v>62.5</v>
      </c>
      <c r="E1430" s="7">
        <f t="shared" si="22"/>
        <v>127</v>
      </c>
      <c r="F1430" s="8"/>
    </row>
    <row r="1431" spans="1:6" ht="18" customHeight="1">
      <c r="A1431" s="4" t="s">
        <v>40</v>
      </c>
      <c r="B1431" s="4" t="str">
        <f>"2020011107"</f>
        <v>2020011107</v>
      </c>
      <c r="C1431" s="5">
        <v>63.9</v>
      </c>
      <c r="D1431" s="6">
        <v>63</v>
      </c>
      <c r="E1431" s="7">
        <f t="shared" si="22"/>
        <v>126.9</v>
      </c>
      <c r="F1431" s="8"/>
    </row>
    <row r="1432" spans="1:6" ht="18" customHeight="1">
      <c r="A1432" s="4" t="s">
        <v>40</v>
      </c>
      <c r="B1432" s="4" t="str">
        <f>"2020032926"</f>
        <v>2020032926</v>
      </c>
      <c r="C1432" s="5">
        <v>67.599999999999994</v>
      </c>
      <c r="D1432" s="6">
        <v>58.5</v>
      </c>
      <c r="E1432" s="7">
        <f t="shared" si="22"/>
        <v>126.1</v>
      </c>
      <c r="F1432" s="8"/>
    </row>
    <row r="1433" spans="1:6" ht="18" customHeight="1">
      <c r="A1433" s="4" t="s">
        <v>40</v>
      </c>
      <c r="B1433" s="4" t="str">
        <f>"2020013225"</f>
        <v>2020013225</v>
      </c>
      <c r="C1433" s="5">
        <v>67.5</v>
      </c>
      <c r="D1433" s="6">
        <v>58.5</v>
      </c>
      <c r="E1433" s="7">
        <f t="shared" si="22"/>
        <v>126</v>
      </c>
      <c r="F1433" s="8"/>
    </row>
    <row r="1434" spans="1:6" ht="18" customHeight="1">
      <c r="A1434" s="4" t="s">
        <v>40</v>
      </c>
      <c r="B1434" s="4" t="str">
        <f>"2020013316"</f>
        <v>2020013316</v>
      </c>
      <c r="C1434" s="5">
        <v>58</v>
      </c>
      <c r="D1434" s="6">
        <v>67</v>
      </c>
      <c r="E1434" s="7">
        <f t="shared" si="22"/>
        <v>125</v>
      </c>
      <c r="F1434" s="8"/>
    </row>
    <row r="1435" spans="1:6" ht="18" customHeight="1">
      <c r="A1435" s="4" t="s">
        <v>40</v>
      </c>
      <c r="B1435" s="4" t="str">
        <f>"2020024007"</f>
        <v>2020024007</v>
      </c>
      <c r="C1435" s="5">
        <v>67.7</v>
      </c>
      <c r="D1435" s="6">
        <v>57</v>
      </c>
      <c r="E1435" s="7">
        <f t="shared" si="22"/>
        <v>124.7</v>
      </c>
      <c r="F1435" s="8"/>
    </row>
    <row r="1436" spans="1:6" ht="18" customHeight="1">
      <c r="A1436" s="4" t="s">
        <v>40</v>
      </c>
      <c r="B1436" s="4" t="str">
        <f>"2020046429"</f>
        <v>2020046429</v>
      </c>
      <c r="C1436" s="5">
        <v>65.099999999999994</v>
      </c>
      <c r="D1436" s="6">
        <v>59.5</v>
      </c>
      <c r="E1436" s="7">
        <f t="shared" si="22"/>
        <v>124.6</v>
      </c>
      <c r="F1436" s="8"/>
    </row>
    <row r="1437" spans="1:6" ht="18" customHeight="1">
      <c r="A1437" s="4" t="s">
        <v>40</v>
      </c>
      <c r="B1437" s="4" t="str">
        <f>"2020047224"</f>
        <v>2020047224</v>
      </c>
      <c r="C1437" s="5">
        <v>69</v>
      </c>
      <c r="D1437" s="6">
        <v>54.5</v>
      </c>
      <c r="E1437" s="7">
        <f t="shared" si="22"/>
        <v>123.5</v>
      </c>
      <c r="F1437" s="8"/>
    </row>
    <row r="1438" spans="1:6" ht="18" customHeight="1">
      <c r="A1438" s="4" t="s">
        <v>40</v>
      </c>
      <c r="B1438" s="4" t="str">
        <f>"2020024202"</f>
        <v>2020024202</v>
      </c>
      <c r="C1438" s="5">
        <v>62.9</v>
      </c>
      <c r="D1438" s="6">
        <v>60.5</v>
      </c>
      <c r="E1438" s="7">
        <f t="shared" si="22"/>
        <v>123.4</v>
      </c>
      <c r="F1438" s="8"/>
    </row>
    <row r="1439" spans="1:6" ht="18" customHeight="1">
      <c r="A1439" s="4" t="s">
        <v>40</v>
      </c>
      <c r="B1439" s="4" t="str">
        <f>"2020032610"</f>
        <v>2020032610</v>
      </c>
      <c r="C1439" s="5">
        <v>67.900000000000006</v>
      </c>
      <c r="D1439" s="6">
        <v>55</v>
      </c>
      <c r="E1439" s="7">
        <f t="shared" si="22"/>
        <v>122.9</v>
      </c>
      <c r="F1439" s="8"/>
    </row>
    <row r="1440" spans="1:6" ht="18" customHeight="1">
      <c r="A1440" s="4" t="s">
        <v>40</v>
      </c>
      <c r="B1440" s="4" t="str">
        <f>"2020043213"</f>
        <v>2020043213</v>
      </c>
      <c r="C1440" s="5">
        <v>60.6</v>
      </c>
      <c r="D1440" s="6">
        <v>61.5</v>
      </c>
      <c r="E1440" s="7">
        <f t="shared" si="22"/>
        <v>122.1</v>
      </c>
      <c r="F1440" s="8"/>
    </row>
    <row r="1441" spans="1:6" ht="18" customHeight="1">
      <c r="A1441" s="4" t="s">
        <v>40</v>
      </c>
      <c r="B1441" s="4" t="str">
        <f>"2020031625"</f>
        <v>2020031625</v>
      </c>
      <c r="C1441" s="5">
        <v>66.3</v>
      </c>
      <c r="D1441" s="6">
        <v>55.5</v>
      </c>
      <c r="E1441" s="7">
        <f t="shared" si="22"/>
        <v>121.8</v>
      </c>
      <c r="F1441" s="8"/>
    </row>
    <row r="1442" spans="1:6" ht="18" customHeight="1">
      <c r="A1442" s="4" t="s">
        <v>40</v>
      </c>
      <c r="B1442" s="4" t="str">
        <f>"2020031611"</f>
        <v>2020031611</v>
      </c>
      <c r="C1442" s="5">
        <v>67.099999999999994</v>
      </c>
      <c r="D1442" s="6">
        <v>54.5</v>
      </c>
      <c r="E1442" s="7">
        <f t="shared" si="22"/>
        <v>121.6</v>
      </c>
      <c r="F1442" s="8"/>
    </row>
    <row r="1443" spans="1:6" ht="18" customHeight="1">
      <c r="A1443" s="4" t="s">
        <v>40</v>
      </c>
      <c r="B1443" s="4" t="str">
        <f>"2020024507"</f>
        <v>2020024507</v>
      </c>
      <c r="C1443" s="5">
        <v>66.5</v>
      </c>
      <c r="D1443" s="6">
        <v>54.5</v>
      </c>
      <c r="E1443" s="7">
        <f t="shared" si="22"/>
        <v>121</v>
      </c>
      <c r="F1443" s="8"/>
    </row>
    <row r="1444" spans="1:6" ht="18" customHeight="1">
      <c r="A1444" s="4" t="s">
        <v>40</v>
      </c>
      <c r="B1444" s="4" t="str">
        <f>"2020022302"</f>
        <v>2020022302</v>
      </c>
      <c r="C1444" s="5">
        <v>61.2</v>
      </c>
      <c r="D1444" s="6">
        <v>59.5</v>
      </c>
      <c r="E1444" s="7">
        <f t="shared" si="22"/>
        <v>120.7</v>
      </c>
      <c r="F1444" s="8"/>
    </row>
    <row r="1445" spans="1:6" ht="18" customHeight="1">
      <c r="A1445" s="4" t="s">
        <v>40</v>
      </c>
      <c r="B1445" s="4" t="str">
        <f>"2020012722"</f>
        <v>2020012722</v>
      </c>
      <c r="C1445" s="5">
        <v>64.099999999999994</v>
      </c>
      <c r="D1445" s="6">
        <v>56</v>
      </c>
      <c r="E1445" s="7">
        <f t="shared" si="22"/>
        <v>120.1</v>
      </c>
      <c r="F1445" s="8"/>
    </row>
    <row r="1446" spans="1:6" ht="18" customHeight="1">
      <c r="A1446" s="4" t="s">
        <v>40</v>
      </c>
      <c r="B1446" s="4" t="str">
        <f>"2020022013"</f>
        <v>2020022013</v>
      </c>
      <c r="C1446" s="5">
        <v>62.7</v>
      </c>
      <c r="D1446" s="6">
        <v>57</v>
      </c>
      <c r="E1446" s="7">
        <f t="shared" si="22"/>
        <v>119.7</v>
      </c>
      <c r="F1446" s="8"/>
    </row>
    <row r="1447" spans="1:6" ht="18" customHeight="1">
      <c r="A1447" s="4" t="s">
        <v>40</v>
      </c>
      <c r="B1447" s="4" t="str">
        <f>"2020012404"</f>
        <v>2020012404</v>
      </c>
      <c r="C1447" s="5">
        <v>59.7</v>
      </c>
      <c r="D1447" s="6">
        <v>60</v>
      </c>
      <c r="E1447" s="7">
        <f t="shared" si="22"/>
        <v>119.7</v>
      </c>
      <c r="F1447" s="8"/>
    </row>
    <row r="1448" spans="1:6" ht="18" customHeight="1">
      <c r="A1448" s="4" t="s">
        <v>40</v>
      </c>
      <c r="B1448" s="4" t="str">
        <f>"2020010917"</f>
        <v>2020010917</v>
      </c>
      <c r="C1448" s="5">
        <v>56.3</v>
      </c>
      <c r="D1448" s="6">
        <v>63</v>
      </c>
      <c r="E1448" s="7">
        <f t="shared" si="22"/>
        <v>119.3</v>
      </c>
      <c r="F1448" s="8"/>
    </row>
    <row r="1449" spans="1:6" ht="18" customHeight="1">
      <c r="A1449" s="4" t="s">
        <v>40</v>
      </c>
      <c r="B1449" s="4" t="str">
        <f>"2020045119"</f>
        <v>2020045119</v>
      </c>
      <c r="C1449" s="5">
        <v>67.2</v>
      </c>
      <c r="D1449" s="6">
        <v>51.5</v>
      </c>
      <c r="E1449" s="7">
        <f t="shared" si="22"/>
        <v>118.7</v>
      </c>
      <c r="F1449" s="8"/>
    </row>
    <row r="1450" spans="1:6" ht="18" customHeight="1">
      <c r="A1450" s="4" t="s">
        <v>40</v>
      </c>
      <c r="B1450" s="4" t="str">
        <f>"2020021421"</f>
        <v>2020021421</v>
      </c>
      <c r="C1450" s="5">
        <v>60.2</v>
      </c>
      <c r="D1450" s="6">
        <v>58.5</v>
      </c>
      <c r="E1450" s="7">
        <f t="shared" si="22"/>
        <v>118.7</v>
      </c>
      <c r="F1450" s="8"/>
    </row>
    <row r="1451" spans="1:6" ht="18" customHeight="1">
      <c r="A1451" s="4" t="s">
        <v>40</v>
      </c>
      <c r="B1451" s="4" t="str">
        <f>"2020010613"</f>
        <v>2020010613</v>
      </c>
      <c r="C1451" s="5">
        <v>67.400000000000006</v>
      </c>
      <c r="D1451" s="6">
        <v>51</v>
      </c>
      <c r="E1451" s="7">
        <f t="shared" si="22"/>
        <v>118.4</v>
      </c>
      <c r="F1451" s="8"/>
    </row>
    <row r="1452" spans="1:6" ht="18" customHeight="1">
      <c r="A1452" s="4" t="s">
        <v>40</v>
      </c>
      <c r="B1452" s="4" t="str">
        <f>"2020044306"</f>
        <v>2020044306</v>
      </c>
      <c r="C1452" s="5">
        <v>58.3</v>
      </c>
      <c r="D1452" s="6">
        <v>60</v>
      </c>
      <c r="E1452" s="7">
        <f t="shared" si="22"/>
        <v>118.3</v>
      </c>
      <c r="F1452" s="8"/>
    </row>
    <row r="1453" spans="1:6" ht="18" customHeight="1">
      <c r="A1453" s="4" t="s">
        <v>40</v>
      </c>
      <c r="B1453" s="4" t="str">
        <f>"2020012811"</f>
        <v>2020012811</v>
      </c>
      <c r="C1453" s="5">
        <v>58.1</v>
      </c>
      <c r="D1453" s="6">
        <v>60</v>
      </c>
      <c r="E1453" s="7">
        <f t="shared" si="22"/>
        <v>118.1</v>
      </c>
      <c r="F1453" s="8"/>
    </row>
    <row r="1454" spans="1:6" ht="18" customHeight="1">
      <c r="A1454" s="4" t="s">
        <v>40</v>
      </c>
      <c r="B1454" s="4" t="str">
        <f>"2020042417"</f>
        <v>2020042417</v>
      </c>
      <c r="C1454" s="5">
        <v>60.7</v>
      </c>
      <c r="D1454" s="6">
        <v>57</v>
      </c>
      <c r="E1454" s="7">
        <f t="shared" si="22"/>
        <v>117.7</v>
      </c>
      <c r="F1454" s="8"/>
    </row>
    <row r="1455" spans="1:6" ht="18" customHeight="1">
      <c r="A1455" s="4" t="s">
        <v>40</v>
      </c>
      <c r="B1455" s="4" t="str">
        <f>"2020030205"</f>
        <v>2020030205</v>
      </c>
      <c r="C1455" s="5">
        <v>65.400000000000006</v>
      </c>
      <c r="D1455" s="6">
        <v>52</v>
      </c>
      <c r="E1455" s="7">
        <f t="shared" si="22"/>
        <v>117.4</v>
      </c>
      <c r="F1455" s="8"/>
    </row>
    <row r="1456" spans="1:6" ht="18" customHeight="1">
      <c r="A1456" s="4" t="s">
        <v>40</v>
      </c>
      <c r="B1456" s="4" t="str">
        <f>"2020042324"</f>
        <v>2020042324</v>
      </c>
      <c r="C1456" s="5">
        <v>59.3</v>
      </c>
      <c r="D1456" s="6">
        <v>58</v>
      </c>
      <c r="E1456" s="7">
        <f t="shared" si="22"/>
        <v>117.3</v>
      </c>
      <c r="F1456" s="8"/>
    </row>
    <row r="1457" spans="1:6" ht="18" customHeight="1">
      <c r="A1457" s="4" t="s">
        <v>40</v>
      </c>
      <c r="B1457" s="4" t="str">
        <f>"2020042922"</f>
        <v>2020042922</v>
      </c>
      <c r="C1457" s="5">
        <v>55.9</v>
      </c>
      <c r="D1457" s="6">
        <v>61</v>
      </c>
      <c r="E1457" s="7">
        <f t="shared" si="22"/>
        <v>116.9</v>
      </c>
      <c r="F1457" s="8"/>
    </row>
    <row r="1458" spans="1:6" ht="18" customHeight="1">
      <c r="A1458" s="4" t="s">
        <v>40</v>
      </c>
      <c r="B1458" s="4" t="str">
        <f>"2020013302"</f>
        <v>2020013302</v>
      </c>
      <c r="C1458" s="5">
        <v>55.3</v>
      </c>
      <c r="D1458" s="6">
        <v>61.5</v>
      </c>
      <c r="E1458" s="7">
        <f t="shared" si="22"/>
        <v>116.8</v>
      </c>
      <c r="F1458" s="8"/>
    </row>
    <row r="1459" spans="1:6" ht="18" customHeight="1">
      <c r="A1459" s="4" t="s">
        <v>40</v>
      </c>
      <c r="B1459" s="4" t="str">
        <f>"2020011122"</f>
        <v>2020011122</v>
      </c>
      <c r="C1459" s="5">
        <v>69.900000000000006</v>
      </c>
      <c r="D1459" s="6">
        <v>46.5</v>
      </c>
      <c r="E1459" s="7">
        <f t="shared" si="22"/>
        <v>116.4</v>
      </c>
      <c r="F1459" s="8"/>
    </row>
    <row r="1460" spans="1:6" ht="18" customHeight="1">
      <c r="A1460" s="4" t="s">
        <v>40</v>
      </c>
      <c r="B1460" s="4" t="str">
        <f>"2020013809"</f>
        <v>2020013809</v>
      </c>
      <c r="C1460" s="5">
        <v>62.5</v>
      </c>
      <c r="D1460" s="6">
        <v>53.5</v>
      </c>
      <c r="E1460" s="7">
        <f t="shared" si="22"/>
        <v>116</v>
      </c>
      <c r="F1460" s="8"/>
    </row>
    <row r="1461" spans="1:6" ht="18" customHeight="1">
      <c r="A1461" s="4" t="s">
        <v>40</v>
      </c>
      <c r="B1461" s="4" t="str">
        <f>"2020013718"</f>
        <v>2020013718</v>
      </c>
      <c r="C1461" s="5">
        <v>60.5</v>
      </c>
      <c r="D1461" s="6">
        <v>55.5</v>
      </c>
      <c r="E1461" s="7">
        <f t="shared" si="22"/>
        <v>116</v>
      </c>
      <c r="F1461" s="8"/>
    </row>
    <row r="1462" spans="1:6" ht="18" customHeight="1">
      <c r="A1462" s="4" t="s">
        <v>40</v>
      </c>
      <c r="B1462" s="4" t="str">
        <f>"2020024821"</f>
        <v>2020024821</v>
      </c>
      <c r="C1462" s="5">
        <v>62.3</v>
      </c>
      <c r="D1462" s="6">
        <v>53.5</v>
      </c>
      <c r="E1462" s="7">
        <f t="shared" si="22"/>
        <v>115.8</v>
      </c>
      <c r="F1462" s="8"/>
    </row>
    <row r="1463" spans="1:6" ht="18" customHeight="1">
      <c r="A1463" s="4" t="s">
        <v>40</v>
      </c>
      <c r="B1463" s="4" t="str">
        <f>"2020044725"</f>
        <v>2020044725</v>
      </c>
      <c r="C1463" s="5">
        <v>60.2</v>
      </c>
      <c r="D1463" s="6">
        <v>55.5</v>
      </c>
      <c r="E1463" s="7">
        <f t="shared" si="22"/>
        <v>115.7</v>
      </c>
      <c r="F1463" s="8"/>
    </row>
    <row r="1464" spans="1:6" ht="18" customHeight="1">
      <c r="A1464" s="4" t="s">
        <v>40</v>
      </c>
      <c r="B1464" s="4" t="str">
        <f>"2020011314"</f>
        <v>2020011314</v>
      </c>
      <c r="C1464" s="5">
        <v>54.9</v>
      </c>
      <c r="D1464" s="6">
        <v>60.5</v>
      </c>
      <c r="E1464" s="7">
        <f t="shared" si="22"/>
        <v>115.4</v>
      </c>
      <c r="F1464" s="8"/>
    </row>
    <row r="1465" spans="1:6" ht="18" customHeight="1">
      <c r="A1465" s="4" t="s">
        <v>40</v>
      </c>
      <c r="B1465" s="4" t="str">
        <f>"2020046421"</f>
        <v>2020046421</v>
      </c>
      <c r="C1465" s="5">
        <v>54.7</v>
      </c>
      <c r="D1465" s="6">
        <v>60</v>
      </c>
      <c r="E1465" s="7">
        <f t="shared" si="22"/>
        <v>114.7</v>
      </c>
      <c r="F1465" s="8"/>
    </row>
    <row r="1466" spans="1:6" ht="18" customHeight="1">
      <c r="A1466" s="4" t="s">
        <v>40</v>
      </c>
      <c r="B1466" s="4" t="str">
        <f>"2020021008"</f>
        <v>2020021008</v>
      </c>
      <c r="C1466" s="5">
        <v>64.099999999999994</v>
      </c>
      <c r="D1466" s="6">
        <v>50.5</v>
      </c>
      <c r="E1466" s="7">
        <f t="shared" si="22"/>
        <v>114.6</v>
      </c>
      <c r="F1466" s="8"/>
    </row>
    <row r="1467" spans="1:6" ht="18" customHeight="1">
      <c r="A1467" s="4" t="s">
        <v>40</v>
      </c>
      <c r="B1467" s="4" t="str">
        <f>"2020047119"</f>
        <v>2020047119</v>
      </c>
      <c r="C1467" s="5">
        <v>64.099999999999994</v>
      </c>
      <c r="D1467" s="6">
        <v>50.5</v>
      </c>
      <c r="E1467" s="7">
        <f t="shared" si="22"/>
        <v>114.6</v>
      </c>
      <c r="F1467" s="8"/>
    </row>
    <row r="1468" spans="1:6" ht="18" customHeight="1">
      <c r="A1468" s="4" t="s">
        <v>40</v>
      </c>
      <c r="B1468" s="4" t="str">
        <f>"2020040628"</f>
        <v>2020040628</v>
      </c>
      <c r="C1468" s="5">
        <v>55.6</v>
      </c>
      <c r="D1468" s="6">
        <v>59</v>
      </c>
      <c r="E1468" s="7">
        <f t="shared" si="22"/>
        <v>114.6</v>
      </c>
      <c r="F1468" s="8"/>
    </row>
    <row r="1469" spans="1:6" ht="18" customHeight="1">
      <c r="A1469" s="4" t="s">
        <v>40</v>
      </c>
      <c r="B1469" s="4" t="str">
        <f>"2020041116"</f>
        <v>2020041116</v>
      </c>
      <c r="C1469" s="5">
        <v>69.400000000000006</v>
      </c>
      <c r="D1469" s="6">
        <v>45</v>
      </c>
      <c r="E1469" s="7">
        <f t="shared" si="22"/>
        <v>114.4</v>
      </c>
      <c r="F1469" s="8"/>
    </row>
    <row r="1470" spans="1:6" ht="18" customHeight="1">
      <c r="A1470" s="4" t="s">
        <v>40</v>
      </c>
      <c r="B1470" s="4" t="str">
        <f>"2020043618"</f>
        <v>2020043618</v>
      </c>
      <c r="C1470" s="5">
        <v>60.8</v>
      </c>
      <c r="D1470" s="6">
        <v>53.5</v>
      </c>
      <c r="E1470" s="7">
        <f t="shared" si="22"/>
        <v>114.3</v>
      </c>
      <c r="F1470" s="8"/>
    </row>
    <row r="1471" spans="1:6" ht="18" customHeight="1">
      <c r="A1471" s="4" t="s">
        <v>40</v>
      </c>
      <c r="B1471" s="4" t="str">
        <f>"2020045424"</f>
        <v>2020045424</v>
      </c>
      <c r="C1471" s="5">
        <v>58.7</v>
      </c>
      <c r="D1471" s="6">
        <v>54.5</v>
      </c>
      <c r="E1471" s="7">
        <f t="shared" si="22"/>
        <v>113.2</v>
      </c>
      <c r="F1471" s="8"/>
    </row>
    <row r="1472" spans="1:6" ht="18" customHeight="1">
      <c r="A1472" s="4" t="s">
        <v>40</v>
      </c>
      <c r="B1472" s="4" t="str">
        <f>"2020023429"</f>
        <v>2020023429</v>
      </c>
      <c r="C1472" s="5">
        <v>53.7</v>
      </c>
      <c r="D1472" s="6">
        <v>59.5</v>
      </c>
      <c r="E1472" s="7">
        <f t="shared" si="22"/>
        <v>113.2</v>
      </c>
      <c r="F1472" s="8"/>
    </row>
    <row r="1473" spans="1:6" ht="18" customHeight="1">
      <c r="A1473" s="4" t="s">
        <v>40</v>
      </c>
      <c r="B1473" s="4" t="str">
        <f>"2020046516"</f>
        <v>2020046516</v>
      </c>
      <c r="C1473" s="5">
        <v>60.9</v>
      </c>
      <c r="D1473" s="6">
        <v>51.5</v>
      </c>
      <c r="E1473" s="7">
        <f t="shared" si="22"/>
        <v>112.4</v>
      </c>
      <c r="F1473" s="8"/>
    </row>
    <row r="1474" spans="1:6" ht="18" customHeight="1">
      <c r="A1474" s="4" t="s">
        <v>40</v>
      </c>
      <c r="B1474" s="4" t="str">
        <f>"2020014030"</f>
        <v>2020014030</v>
      </c>
      <c r="C1474" s="5">
        <v>54.6</v>
      </c>
      <c r="D1474" s="6">
        <v>57.5</v>
      </c>
      <c r="E1474" s="7">
        <f t="shared" si="22"/>
        <v>112.1</v>
      </c>
      <c r="F1474" s="8"/>
    </row>
    <row r="1475" spans="1:6" ht="18" customHeight="1">
      <c r="A1475" s="4" t="s">
        <v>40</v>
      </c>
      <c r="B1475" s="4" t="str">
        <f>"2020022409"</f>
        <v>2020022409</v>
      </c>
      <c r="C1475" s="5">
        <v>61.7</v>
      </c>
      <c r="D1475" s="6">
        <v>50</v>
      </c>
      <c r="E1475" s="7">
        <f t="shared" ref="E1475:E1538" si="23">SUM(C1475:D1475)</f>
        <v>111.7</v>
      </c>
      <c r="F1475" s="8"/>
    </row>
    <row r="1476" spans="1:6" ht="18" customHeight="1">
      <c r="A1476" s="4" t="s">
        <v>40</v>
      </c>
      <c r="B1476" s="4" t="str">
        <f>"2020047311"</f>
        <v>2020047311</v>
      </c>
      <c r="C1476" s="5">
        <v>63.3</v>
      </c>
      <c r="D1476" s="6">
        <v>48</v>
      </c>
      <c r="E1476" s="7">
        <f t="shared" si="23"/>
        <v>111.3</v>
      </c>
      <c r="F1476" s="8"/>
    </row>
    <row r="1477" spans="1:6" ht="18" customHeight="1">
      <c r="A1477" s="4" t="s">
        <v>40</v>
      </c>
      <c r="B1477" s="4" t="str">
        <f>"2020046720"</f>
        <v>2020046720</v>
      </c>
      <c r="C1477" s="5">
        <v>55.6</v>
      </c>
      <c r="D1477" s="6">
        <v>55.5</v>
      </c>
      <c r="E1477" s="7">
        <f t="shared" si="23"/>
        <v>111.1</v>
      </c>
      <c r="F1477" s="8"/>
    </row>
    <row r="1478" spans="1:6" ht="18" customHeight="1">
      <c r="A1478" s="4" t="s">
        <v>40</v>
      </c>
      <c r="B1478" s="4" t="str">
        <f>"2020040507"</f>
        <v>2020040507</v>
      </c>
      <c r="C1478" s="5">
        <v>63.5</v>
      </c>
      <c r="D1478" s="6">
        <v>47.5</v>
      </c>
      <c r="E1478" s="7">
        <f t="shared" si="23"/>
        <v>111</v>
      </c>
      <c r="F1478" s="8"/>
    </row>
    <row r="1479" spans="1:6" ht="18" customHeight="1">
      <c r="A1479" s="4" t="s">
        <v>40</v>
      </c>
      <c r="B1479" s="4" t="str">
        <f>"2020023519"</f>
        <v>2020023519</v>
      </c>
      <c r="C1479" s="5">
        <v>66.8</v>
      </c>
      <c r="D1479" s="6">
        <v>44</v>
      </c>
      <c r="E1479" s="7">
        <f t="shared" si="23"/>
        <v>110.8</v>
      </c>
      <c r="F1479" s="8"/>
    </row>
    <row r="1480" spans="1:6" ht="18" customHeight="1">
      <c r="A1480" s="4" t="s">
        <v>40</v>
      </c>
      <c r="B1480" s="4" t="str">
        <f>"2020046828"</f>
        <v>2020046828</v>
      </c>
      <c r="C1480" s="5">
        <v>61.2</v>
      </c>
      <c r="D1480" s="6">
        <v>48.5</v>
      </c>
      <c r="E1480" s="7">
        <f t="shared" si="23"/>
        <v>109.7</v>
      </c>
      <c r="F1480" s="8"/>
    </row>
    <row r="1481" spans="1:6" ht="18" customHeight="1">
      <c r="A1481" s="4" t="s">
        <v>40</v>
      </c>
      <c r="B1481" s="4" t="str">
        <f>"2020043922"</f>
        <v>2020043922</v>
      </c>
      <c r="C1481" s="5">
        <v>58.5</v>
      </c>
      <c r="D1481" s="6">
        <v>51</v>
      </c>
      <c r="E1481" s="7">
        <f t="shared" si="23"/>
        <v>109.5</v>
      </c>
      <c r="F1481" s="8"/>
    </row>
    <row r="1482" spans="1:6" ht="18" customHeight="1">
      <c r="A1482" s="4" t="s">
        <v>40</v>
      </c>
      <c r="B1482" s="4" t="str">
        <f>"2020043008"</f>
        <v>2020043008</v>
      </c>
      <c r="C1482" s="5">
        <v>51.7</v>
      </c>
      <c r="D1482" s="6">
        <v>57</v>
      </c>
      <c r="E1482" s="7">
        <f t="shared" si="23"/>
        <v>108.7</v>
      </c>
      <c r="F1482" s="8"/>
    </row>
    <row r="1483" spans="1:6" ht="18" customHeight="1">
      <c r="A1483" s="4" t="s">
        <v>40</v>
      </c>
      <c r="B1483" s="4" t="str">
        <f>"2020041612"</f>
        <v>2020041612</v>
      </c>
      <c r="C1483" s="5">
        <v>56.4</v>
      </c>
      <c r="D1483" s="6">
        <v>51.5</v>
      </c>
      <c r="E1483" s="7">
        <f t="shared" si="23"/>
        <v>107.9</v>
      </c>
      <c r="F1483" s="8"/>
    </row>
    <row r="1484" spans="1:6" ht="18" customHeight="1">
      <c r="A1484" s="4" t="s">
        <v>40</v>
      </c>
      <c r="B1484" s="4" t="str">
        <f>"2020022403"</f>
        <v>2020022403</v>
      </c>
      <c r="C1484" s="5">
        <v>54.8</v>
      </c>
      <c r="D1484" s="6">
        <v>51.5</v>
      </c>
      <c r="E1484" s="7">
        <f t="shared" si="23"/>
        <v>106.3</v>
      </c>
      <c r="F1484" s="8"/>
    </row>
    <row r="1485" spans="1:6" ht="18" customHeight="1">
      <c r="A1485" s="4" t="s">
        <v>40</v>
      </c>
      <c r="B1485" s="4" t="str">
        <f>"2020033702"</f>
        <v>2020033702</v>
      </c>
      <c r="C1485" s="5">
        <v>57.9</v>
      </c>
      <c r="D1485" s="6">
        <v>46</v>
      </c>
      <c r="E1485" s="7">
        <f t="shared" si="23"/>
        <v>103.9</v>
      </c>
      <c r="F1485" s="8"/>
    </row>
    <row r="1486" spans="1:6" ht="18" customHeight="1">
      <c r="A1486" s="4" t="s">
        <v>40</v>
      </c>
      <c r="B1486" s="4" t="str">
        <f>"2020023115"</f>
        <v>2020023115</v>
      </c>
      <c r="C1486" s="5">
        <v>60.2</v>
      </c>
      <c r="D1486" s="6">
        <v>43</v>
      </c>
      <c r="E1486" s="7">
        <f t="shared" si="23"/>
        <v>103.2</v>
      </c>
      <c r="F1486" s="8"/>
    </row>
    <row r="1487" spans="1:6" ht="18" customHeight="1">
      <c r="A1487" s="4" t="s">
        <v>40</v>
      </c>
      <c r="B1487" s="4" t="str">
        <f>"2020041904"</f>
        <v>2020041904</v>
      </c>
      <c r="C1487" s="5">
        <v>56.1</v>
      </c>
      <c r="D1487" s="6">
        <v>47</v>
      </c>
      <c r="E1487" s="7">
        <f t="shared" si="23"/>
        <v>103.1</v>
      </c>
      <c r="F1487" s="8"/>
    </row>
    <row r="1488" spans="1:6" ht="18" customHeight="1">
      <c r="A1488" s="4" t="s">
        <v>40</v>
      </c>
      <c r="B1488" s="4" t="str">
        <f>"2020042416"</f>
        <v>2020042416</v>
      </c>
      <c r="C1488" s="5">
        <v>54.5</v>
      </c>
      <c r="D1488" s="6">
        <v>48.5</v>
      </c>
      <c r="E1488" s="7">
        <f t="shared" si="23"/>
        <v>103</v>
      </c>
      <c r="F1488" s="8"/>
    </row>
    <row r="1489" spans="1:6" ht="18" customHeight="1">
      <c r="A1489" s="4" t="s">
        <v>40</v>
      </c>
      <c r="B1489" s="4" t="str">
        <f>"2020012030"</f>
        <v>2020012030</v>
      </c>
      <c r="C1489" s="5">
        <v>61.1</v>
      </c>
      <c r="D1489" s="6">
        <v>40.5</v>
      </c>
      <c r="E1489" s="7">
        <f t="shared" si="23"/>
        <v>101.6</v>
      </c>
      <c r="F1489" s="8"/>
    </row>
    <row r="1490" spans="1:6" ht="18" customHeight="1">
      <c r="A1490" s="4" t="s">
        <v>40</v>
      </c>
      <c r="B1490" s="4" t="str">
        <f>"2020032023"</f>
        <v>2020032023</v>
      </c>
      <c r="C1490" s="5">
        <v>57.1</v>
      </c>
      <c r="D1490" s="6">
        <v>44.5</v>
      </c>
      <c r="E1490" s="7">
        <f t="shared" si="23"/>
        <v>101.6</v>
      </c>
      <c r="F1490" s="8"/>
    </row>
    <row r="1491" spans="1:6" ht="18" customHeight="1">
      <c r="A1491" s="4" t="s">
        <v>40</v>
      </c>
      <c r="B1491" s="4" t="str">
        <f>"2020047008"</f>
        <v>2020047008</v>
      </c>
      <c r="C1491" s="5">
        <v>50.8</v>
      </c>
      <c r="D1491" s="6">
        <v>50</v>
      </c>
      <c r="E1491" s="7">
        <f t="shared" si="23"/>
        <v>100.8</v>
      </c>
      <c r="F1491" s="8"/>
    </row>
    <row r="1492" spans="1:6" ht="18" customHeight="1">
      <c r="A1492" s="4" t="s">
        <v>40</v>
      </c>
      <c r="B1492" s="4" t="str">
        <f>"2020033929"</f>
        <v>2020033929</v>
      </c>
      <c r="C1492" s="5">
        <v>53.6</v>
      </c>
      <c r="D1492" s="6">
        <v>47</v>
      </c>
      <c r="E1492" s="7">
        <f t="shared" si="23"/>
        <v>100.6</v>
      </c>
      <c r="F1492" s="8"/>
    </row>
    <row r="1493" spans="1:6" ht="18" customHeight="1">
      <c r="A1493" s="4" t="s">
        <v>40</v>
      </c>
      <c r="B1493" s="4" t="str">
        <f>"2020021214"</f>
        <v>2020021214</v>
      </c>
      <c r="C1493" s="5">
        <v>53.8</v>
      </c>
      <c r="D1493" s="6">
        <v>46.5</v>
      </c>
      <c r="E1493" s="7">
        <f t="shared" si="23"/>
        <v>100.3</v>
      </c>
      <c r="F1493" s="8"/>
    </row>
    <row r="1494" spans="1:6" ht="18" customHeight="1">
      <c r="A1494" s="4" t="s">
        <v>40</v>
      </c>
      <c r="B1494" s="4" t="str">
        <f>"2020024108"</f>
        <v>2020024108</v>
      </c>
      <c r="C1494" s="5">
        <v>56.1</v>
      </c>
      <c r="D1494" s="6">
        <v>44</v>
      </c>
      <c r="E1494" s="7">
        <f t="shared" si="23"/>
        <v>100.1</v>
      </c>
      <c r="F1494" s="8"/>
    </row>
    <row r="1495" spans="1:6" ht="18" customHeight="1">
      <c r="A1495" s="4" t="s">
        <v>40</v>
      </c>
      <c r="B1495" s="4" t="str">
        <f>"2020046104"</f>
        <v>2020046104</v>
      </c>
      <c r="C1495" s="5">
        <v>58.4</v>
      </c>
      <c r="D1495" s="6">
        <v>39</v>
      </c>
      <c r="E1495" s="7">
        <f t="shared" si="23"/>
        <v>97.4</v>
      </c>
      <c r="F1495" s="8"/>
    </row>
    <row r="1496" spans="1:6" ht="18" customHeight="1">
      <c r="A1496" s="4" t="s">
        <v>40</v>
      </c>
      <c r="B1496" s="4" t="str">
        <f>"2020023412"</f>
        <v>2020023412</v>
      </c>
      <c r="C1496" s="5">
        <v>56.8</v>
      </c>
      <c r="D1496" s="6">
        <v>40</v>
      </c>
      <c r="E1496" s="7">
        <f t="shared" si="23"/>
        <v>96.8</v>
      </c>
      <c r="F1496" s="8"/>
    </row>
    <row r="1497" spans="1:6" ht="18" customHeight="1">
      <c r="A1497" s="4" t="s">
        <v>40</v>
      </c>
      <c r="B1497" s="4" t="str">
        <f>"2020011118"</f>
        <v>2020011118</v>
      </c>
      <c r="C1497" s="5">
        <v>48</v>
      </c>
      <c r="D1497" s="6">
        <v>47</v>
      </c>
      <c r="E1497" s="7">
        <f t="shared" si="23"/>
        <v>95</v>
      </c>
      <c r="F1497" s="8"/>
    </row>
    <row r="1498" spans="1:6" ht="18" customHeight="1">
      <c r="A1498" s="4" t="s">
        <v>40</v>
      </c>
      <c r="B1498" s="4" t="str">
        <f>"2020033730"</f>
        <v>2020033730</v>
      </c>
      <c r="C1498" s="5">
        <v>54.7</v>
      </c>
      <c r="D1498" s="6">
        <v>40</v>
      </c>
      <c r="E1498" s="7">
        <f t="shared" si="23"/>
        <v>94.7</v>
      </c>
      <c r="F1498" s="8"/>
    </row>
    <row r="1499" spans="1:6" ht="18" customHeight="1">
      <c r="A1499" s="4" t="s">
        <v>40</v>
      </c>
      <c r="B1499" s="4" t="str">
        <f>"2020042405"</f>
        <v>2020042405</v>
      </c>
      <c r="C1499" s="5">
        <v>63.9</v>
      </c>
      <c r="D1499" s="6">
        <v>26</v>
      </c>
      <c r="E1499" s="7">
        <f t="shared" si="23"/>
        <v>89.9</v>
      </c>
      <c r="F1499" s="8"/>
    </row>
    <row r="1500" spans="1:6" ht="18" customHeight="1">
      <c r="A1500" s="4" t="s">
        <v>40</v>
      </c>
      <c r="B1500" s="4" t="str">
        <f>"2020020904"</f>
        <v>2020020904</v>
      </c>
      <c r="C1500" s="5">
        <v>42.5</v>
      </c>
      <c r="D1500" s="6">
        <v>46.5</v>
      </c>
      <c r="E1500" s="7">
        <f t="shared" si="23"/>
        <v>89</v>
      </c>
      <c r="F1500" s="8"/>
    </row>
    <row r="1501" spans="1:6" ht="18" customHeight="1">
      <c r="A1501" s="4" t="s">
        <v>40</v>
      </c>
      <c r="B1501" s="4" t="str">
        <f>"2020045605"</f>
        <v>2020045605</v>
      </c>
      <c r="C1501" s="5">
        <v>63.5</v>
      </c>
      <c r="D1501" s="6">
        <v>25</v>
      </c>
      <c r="E1501" s="7">
        <f t="shared" si="23"/>
        <v>88.5</v>
      </c>
      <c r="F1501" s="8"/>
    </row>
    <row r="1502" spans="1:6" ht="18" customHeight="1">
      <c r="A1502" s="4" t="s">
        <v>40</v>
      </c>
      <c r="B1502" s="4" t="str">
        <f>"2020021821"</f>
        <v>2020021821</v>
      </c>
      <c r="C1502" s="5">
        <v>43.2</v>
      </c>
      <c r="D1502" s="6">
        <v>41</v>
      </c>
      <c r="E1502" s="7">
        <f t="shared" si="23"/>
        <v>84.2</v>
      </c>
      <c r="F1502" s="8"/>
    </row>
    <row r="1503" spans="1:6" ht="18" customHeight="1">
      <c r="A1503" s="4" t="s">
        <v>40</v>
      </c>
      <c r="B1503" s="4" t="str">
        <f>"2020020905"</f>
        <v>2020020905</v>
      </c>
      <c r="C1503" s="5">
        <v>42.1</v>
      </c>
      <c r="D1503" s="6">
        <v>36</v>
      </c>
      <c r="E1503" s="7">
        <f t="shared" si="23"/>
        <v>78.099999999999994</v>
      </c>
      <c r="F1503" s="8"/>
    </row>
    <row r="1504" spans="1:6" ht="18" customHeight="1">
      <c r="A1504" s="4" t="s">
        <v>40</v>
      </c>
      <c r="B1504" s="4" t="str">
        <f>"2020044001"</f>
        <v>2020044001</v>
      </c>
      <c r="C1504" s="5">
        <v>0</v>
      </c>
      <c r="D1504" s="6">
        <v>53</v>
      </c>
      <c r="E1504" s="7">
        <f t="shared" si="23"/>
        <v>53</v>
      </c>
      <c r="F1504" s="8" t="s">
        <v>10</v>
      </c>
    </row>
    <row r="1505" spans="1:6" ht="18" customHeight="1">
      <c r="A1505" s="4" t="s">
        <v>40</v>
      </c>
      <c r="B1505" s="4" t="str">
        <f>"2020010209"</f>
        <v>2020010209</v>
      </c>
      <c r="C1505" s="5">
        <v>0</v>
      </c>
      <c r="D1505" s="6">
        <v>0</v>
      </c>
      <c r="E1505" s="7">
        <f t="shared" si="23"/>
        <v>0</v>
      </c>
      <c r="F1505" s="9" t="s">
        <v>8</v>
      </c>
    </row>
    <row r="1506" spans="1:6" ht="18" customHeight="1">
      <c r="A1506" s="4" t="s">
        <v>40</v>
      </c>
      <c r="B1506" s="4" t="str">
        <f>"2020010225"</f>
        <v>2020010225</v>
      </c>
      <c r="C1506" s="5">
        <v>0</v>
      </c>
      <c r="D1506" s="6">
        <v>0</v>
      </c>
      <c r="E1506" s="7">
        <f t="shared" si="23"/>
        <v>0</v>
      </c>
      <c r="F1506" s="9" t="s">
        <v>8</v>
      </c>
    </row>
    <row r="1507" spans="1:6" ht="18" customHeight="1">
      <c r="A1507" s="4" t="s">
        <v>40</v>
      </c>
      <c r="B1507" s="4" t="str">
        <f>"2020010828"</f>
        <v>2020010828</v>
      </c>
      <c r="C1507" s="5">
        <v>0</v>
      </c>
      <c r="D1507" s="6">
        <v>0</v>
      </c>
      <c r="E1507" s="7">
        <f t="shared" si="23"/>
        <v>0</v>
      </c>
      <c r="F1507" s="9" t="s">
        <v>8</v>
      </c>
    </row>
    <row r="1508" spans="1:6" ht="18" customHeight="1">
      <c r="A1508" s="4" t="s">
        <v>40</v>
      </c>
      <c r="B1508" s="4" t="str">
        <f>"2020010903"</f>
        <v>2020010903</v>
      </c>
      <c r="C1508" s="5">
        <v>0</v>
      </c>
      <c r="D1508" s="6">
        <v>0</v>
      </c>
      <c r="E1508" s="7">
        <f t="shared" si="23"/>
        <v>0</v>
      </c>
      <c r="F1508" s="9" t="s">
        <v>8</v>
      </c>
    </row>
    <row r="1509" spans="1:6" ht="18" customHeight="1">
      <c r="A1509" s="4" t="s">
        <v>40</v>
      </c>
      <c r="B1509" s="4" t="str">
        <f>"2020011105"</f>
        <v>2020011105</v>
      </c>
      <c r="C1509" s="5">
        <v>0</v>
      </c>
      <c r="D1509" s="6">
        <v>0</v>
      </c>
      <c r="E1509" s="7">
        <f t="shared" si="23"/>
        <v>0</v>
      </c>
      <c r="F1509" s="9" t="s">
        <v>8</v>
      </c>
    </row>
    <row r="1510" spans="1:6" ht="18" customHeight="1">
      <c r="A1510" s="4" t="s">
        <v>40</v>
      </c>
      <c r="B1510" s="4" t="str">
        <f>"2020011220"</f>
        <v>2020011220</v>
      </c>
      <c r="C1510" s="5">
        <v>0</v>
      </c>
      <c r="D1510" s="6">
        <v>0</v>
      </c>
      <c r="E1510" s="7">
        <f t="shared" si="23"/>
        <v>0</v>
      </c>
      <c r="F1510" s="9" t="s">
        <v>8</v>
      </c>
    </row>
    <row r="1511" spans="1:6" ht="18" customHeight="1">
      <c r="A1511" s="4" t="s">
        <v>40</v>
      </c>
      <c r="B1511" s="4" t="str">
        <f>"2020011501"</f>
        <v>2020011501</v>
      </c>
      <c r="C1511" s="5">
        <v>0</v>
      </c>
      <c r="D1511" s="6">
        <v>0</v>
      </c>
      <c r="E1511" s="7">
        <f t="shared" si="23"/>
        <v>0</v>
      </c>
      <c r="F1511" s="9" t="s">
        <v>8</v>
      </c>
    </row>
    <row r="1512" spans="1:6" ht="18" customHeight="1">
      <c r="A1512" s="4" t="s">
        <v>40</v>
      </c>
      <c r="B1512" s="4" t="str">
        <f>"2020012109"</f>
        <v>2020012109</v>
      </c>
      <c r="C1512" s="5">
        <v>0</v>
      </c>
      <c r="D1512" s="6">
        <v>0</v>
      </c>
      <c r="E1512" s="7">
        <f t="shared" si="23"/>
        <v>0</v>
      </c>
      <c r="F1512" s="9" t="s">
        <v>8</v>
      </c>
    </row>
    <row r="1513" spans="1:6" ht="18" customHeight="1">
      <c r="A1513" s="4" t="s">
        <v>40</v>
      </c>
      <c r="B1513" s="4" t="str">
        <f>"2020012120"</f>
        <v>2020012120</v>
      </c>
      <c r="C1513" s="5">
        <v>0</v>
      </c>
      <c r="D1513" s="6">
        <v>0</v>
      </c>
      <c r="E1513" s="7">
        <f t="shared" si="23"/>
        <v>0</v>
      </c>
      <c r="F1513" s="9" t="s">
        <v>8</v>
      </c>
    </row>
    <row r="1514" spans="1:6" ht="18" customHeight="1">
      <c r="A1514" s="4" t="s">
        <v>40</v>
      </c>
      <c r="B1514" s="4" t="str">
        <f>"2020012218"</f>
        <v>2020012218</v>
      </c>
      <c r="C1514" s="5">
        <v>0</v>
      </c>
      <c r="D1514" s="6">
        <v>0</v>
      </c>
      <c r="E1514" s="7">
        <f t="shared" si="23"/>
        <v>0</v>
      </c>
      <c r="F1514" s="9" t="s">
        <v>8</v>
      </c>
    </row>
    <row r="1515" spans="1:6" ht="18" customHeight="1">
      <c r="A1515" s="4" t="s">
        <v>40</v>
      </c>
      <c r="B1515" s="4" t="str">
        <f>"2020012317"</f>
        <v>2020012317</v>
      </c>
      <c r="C1515" s="5">
        <v>0</v>
      </c>
      <c r="D1515" s="6">
        <v>0</v>
      </c>
      <c r="E1515" s="7">
        <f t="shared" si="23"/>
        <v>0</v>
      </c>
      <c r="F1515" s="9" t="s">
        <v>8</v>
      </c>
    </row>
    <row r="1516" spans="1:6" ht="18" customHeight="1">
      <c r="A1516" s="4" t="s">
        <v>40</v>
      </c>
      <c r="B1516" s="4" t="str">
        <f>"2020012822"</f>
        <v>2020012822</v>
      </c>
      <c r="C1516" s="5">
        <v>0</v>
      </c>
      <c r="D1516" s="6">
        <v>0</v>
      </c>
      <c r="E1516" s="7">
        <f t="shared" si="23"/>
        <v>0</v>
      </c>
      <c r="F1516" s="9" t="s">
        <v>8</v>
      </c>
    </row>
    <row r="1517" spans="1:6" ht="18" customHeight="1">
      <c r="A1517" s="4" t="s">
        <v>40</v>
      </c>
      <c r="B1517" s="4" t="str">
        <f>"2020013120"</f>
        <v>2020013120</v>
      </c>
      <c r="C1517" s="5">
        <v>0</v>
      </c>
      <c r="D1517" s="6">
        <v>0</v>
      </c>
      <c r="E1517" s="7">
        <f t="shared" si="23"/>
        <v>0</v>
      </c>
      <c r="F1517" s="9" t="s">
        <v>8</v>
      </c>
    </row>
    <row r="1518" spans="1:6" ht="18" customHeight="1">
      <c r="A1518" s="4" t="s">
        <v>40</v>
      </c>
      <c r="B1518" s="4" t="str">
        <f>"2020013403"</f>
        <v>2020013403</v>
      </c>
      <c r="C1518" s="5">
        <v>0</v>
      </c>
      <c r="D1518" s="6">
        <v>0</v>
      </c>
      <c r="E1518" s="7">
        <f t="shared" si="23"/>
        <v>0</v>
      </c>
      <c r="F1518" s="9" t="s">
        <v>8</v>
      </c>
    </row>
    <row r="1519" spans="1:6" ht="18" customHeight="1">
      <c r="A1519" s="4" t="s">
        <v>40</v>
      </c>
      <c r="B1519" s="4" t="str">
        <f>"2020013507"</f>
        <v>2020013507</v>
      </c>
      <c r="C1519" s="5">
        <v>0</v>
      </c>
      <c r="D1519" s="6">
        <v>0</v>
      </c>
      <c r="E1519" s="7">
        <f t="shared" si="23"/>
        <v>0</v>
      </c>
      <c r="F1519" s="9" t="s">
        <v>8</v>
      </c>
    </row>
    <row r="1520" spans="1:6" ht="18" customHeight="1">
      <c r="A1520" s="4" t="s">
        <v>40</v>
      </c>
      <c r="B1520" s="4" t="str">
        <f>"2020013801"</f>
        <v>2020013801</v>
      </c>
      <c r="C1520" s="5">
        <v>0</v>
      </c>
      <c r="D1520" s="6">
        <v>0</v>
      </c>
      <c r="E1520" s="7">
        <f t="shared" si="23"/>
        <v>0</v>
      </c>
      <c r="F1520" s="9" t="s">
        <v>8</v>
      </c>
    </row>
    <row r="1521" spans="1:6" ht="18" customHeight="1">
      <c r="A1521" s="4" t="s">
        <v>40</v>
      </c>
      <c r="B1521" s="4" t="str">
        <f>"2020013825"</f>
        <v>2020013825</v>
      </c>
      <c r="C1521" s="5">
        <v>0</v>
      </c>
      <c r="D1521" s="6">
        <v>0</v>
      </c>
      <c r="E1521" s="7">
        <f t="shared" si="23"/>
        <v>0</v>
      </c>
      <c r="F1521" s="9" t="s">
        <v>8</v>
      </c>
    </row>
    <row r="1522" spans="1:6" ht="18" customHeight="1">
      <c r="A1522" s="4" t="s">
        <v>40</v>
      </c>
      <c r="B1522" s="4" t="str">
        <f>"2020013829"</f>
        <v>2020013829</v>
      </c>
      <c r="C1522" s="5">
        <v>0</v>
      </c>
      <c r="D1522" s="6">
        <v>0</v>
      </c>
      <c r="E1522" s="7">
        <f t="shared" si="23"/>
        <v>0</v>
      </c>
      <c r="F1522" s="9" t="s">
        <v>8</v>
      </c>
    </row>
    <row r="1523" spans="1:6" ht="18" customHeight="1">
      <c r="A1523" s="4" t="s">
        <v>40</v>
      </c>
      <c r="B1523" s="4" t="str">
        <f>"2020013916"</f>
        <v>2020013916</v>
      </c>
      <c r="C1523" s="5">
        <v>0</v>
      </c>
      <c r="D1523" s="6">
        <v>0</v>
      </c>
      <c r="E1523" s="7">
        <f t="shared" si="23"/>
        <v>0</v>
      </c>
      <c r="F1523" s="9" t="s">
        <v>8</v>
      </c>
    </row>
    <row r="1524" spans="1:6" ht="18" customHeight="1">
      <c r="A1524" s="4" t="s">
        <v>40</v>
      </c>
      <c r="B1524" s="4" t="str">
        <f>"2020013917"</f>
        <v>2020013917</v>
      </c>
      <c r="C1524" s="5">
        <v>0</v>
      </c>
      <c r="D1524" s="6">
        <v>0</v>
      </c>
      <c r="E1524" s="7">
        <f t="shared" si="23"/>
        <v>0</v>
      </c>
      <c r="F1524" s="9" t="s">
        <v>8</v>
      </c>
    </row>
    <row r="1525" spans="1:6" ht="18" customHeight="1">
      <c r="A1525" s="4" t="s">
        <v>40</v>
      </c>
      <c r="B1525" s="4" t="str">
        <f>"2020020130"</f>
        <v>2020020130</v>
      </c>
      <c r="C1525" s="5">
        <v>0</v>
      </c>
      <c r="D1525" s="6">
        <v>0</v>
      </c>
      <c r="E1525" s="7">
        <f t="shared" si="23"/>
        <v>0</v>
      </c>
      <c r="F1525" s="8" t="s">
        <v>8</v>
      </c>
    </row>
    <row r="1526" spans="1:6" ht="18" customHeight="1">
      <c r="A1526" s="4" t="s">
        <v>40</v>
      </c>
      <c r="B1526" s="4" t="str">
        <f>"2020020522"</f>
        <v>2020020522</v>
      </c>
      <c r="C1526" s="5">
        <v>0</v>
      </c>
      <c r="D1526" s="6">
        <v>0</v>
      </c>
      <c r="E1526" s="7">
        <f t="shared" si="23"/>
        <v>0</v>
      </c>
      <c r="F1526" s="8" t="s">
        <v>8</v>
      </c>
    </row>
    <row r="1527" spans="1:6" ht="18" customHeight="1">
      <c r="A1527" s="4" t="s">
        <v>40</v>
      </c>
      <c r="B1527" s="4" t="str">
        <f>"2020020711"</f>
        <v>2020020711</v>
      </c>
      <c r="C1527" s="5">
        <v>0</v>
      </c>
      <c r="D1527" s="6">
        <v>0</v>
      </c>
      <c r="E1527" s="7">
        <f t="shared" si="23"/>
        <v>0</v>
      </c>
      <c r="F1527" s="8" t="s">
        <v>8</v>
      </c>
    </row>
    <row r="1528" spans="1:6" ht="18" customHeight="1">
      <c r="A1528" s="4" t="s">
        <v>40</v>
      </c>
      <c r="B1528" s="4" t="str">
        <f>"2020020817"</f>
        <v>2020020817</v>
      </c>
      <c r="C1528" s="5">
        <v>0</v>
      </c>
      <c r="D1528" s="6">
        <v>0</v>
      </c>
      <c r="E1528" s="7">
        <f t="shared" si="23"/>
        <v>0</v>
      </c>
      <c r="F1528" s="8" t="s">
        <v>8</v>
      </c>
    </row>
    <row r="1529" spans="1:6" ht="18" customHeight="1">
      <c r="A1529" s="4" t="s">
        <v>40</v>
      </c>
      <c r="B1529" s="4" t="str">
        <f>"2020020822"</f>
        <v>2020020822</v>
      </c>
      <c r="C1529" s="5">
        <v>0</v>
      </c>
      <c r="D1529" s="6">
        <v>0</v>
      </c>
      <c r="E1529" s="7">
        <f t="shared" si="23"/>
        <v>0</v>
      </c>
      <c r="F1529" s="9" t="s">
        <v>8</v>
      </c>
    </row>
    <row r="1530" spans="1:6" ht="18" customHeight="1">
      <c r="A1530" s="4" t="s">
        <v>40</v>
      </c>
      <c r="B1530" s="4" t="str">
        <f>"2020020916"</f>
        <v>2020020916</v>
      </c>
      <c r="C1530" s="5">
        <v>0</v>
      </c>
      <c r="D1530" s="6">
        <v>0</v>
      </c>
      <c r="E1530" s="7">
        <f t="shared" si="23"/>
        <v>0</v>
      </c>
      <c r="F1530" s="8" t="s">
        <v>8</v>
      </c>
    </row>
    <row r="1531" spans="1:6" ht="18" customHeight="1">
      <c r="A1531" s="4" t="s">
        <v>40</v>
      </c>
      <c r="B1531" s="4" t="str">
        <f>"2020020921"</f>
        <v>2020020921</v>
      </c>
      <c r="C1531" s="5">
        <v>0</v>
      </c>
      <c r="D1531" s="6">
        <v>0</v>
      </c>
      <c r="E1531" s="7">
        <f t="shared" si="23"/>
        <v>0</v>
      </c>
      <c r="F1531" s="8" t="s">
        <v>8</v>
      </c>
    </row>
    <row r="1532" spans="1:6" ht="18" customHeight="1">
      <c r="A1532" s="4" t="s">
        <v>40</v>
      </c>
      <c r="B1532" s="4" t="str">
        <f>"2020021103"</f>
        <v>2020021103</v>
      </c>
      <c r="C1532" s="5">
        <v>0</v>
      </c>
      <c r="D1532" s="6">
        <v>0</v>
      </c>
      <c r="E1532" s="7">
        <f t="shared" si="23"/>
        <v>0</v>
      </c>
      <c r="F1532" s="8" t="s">
        <v>8</v>
      </c>
    </row>
    <row r="1533" spans="1:6" ht="18" customHeight="1">
      <c r="A1533" s="4" t="s">
        <v>40</v>
      </c>
      <c r="B1533" s="4" t="str">
        <f>"2020021113"</f>
        <v>2020021113</v>
      </c>
      <c r="C1533" s="5">
        <v>0</v>
      </c>
      <c r="D1533" s="6">
        <v>0</v>
      </c>
      <c r="E1533" s="7">
        <f t="shared" si="23"/>
        <v>0</v>
      </c>
      <c r="F1533" s="8" t="s">
        <v>8</v>
      </c>
    </row>
    <row r="1534" spans="1:6" ht="18" customHeight="1">
      <c r="A1534" s="4" t="s">
        <v>40</v>
      </c>
      <c r="B1534" s="4" t="str">
        <f>"2020021512"</f>
        <v>2020021512</v>
      </c>
      <c r="C1534" s="5">
        <v>0</v>
      </c>
      <c r="D1534" s="6">
        <v>0</v>
      </c>
      <c r="E1534" s="7">
        <f t="shared" si="23"/>
        <v>0</v>
      </c>
      <c r="F1534" s="8" t="s">
        <v>8</v>
      </c>
    </row>
    <row r="1535" spans="1:6" ht="18" customHeight="1">
      <c r="A1535" s="4" t="s">
        <v>40</v>
      </c>
      <c r="B1535" s="4" t="str">
        <f>"2020021627"</f>
        <v>2020021627</v>
      </c>
      <c r="C1535" s="5">
        <v>0</v>
      </c>
      <c r="D1535" s="6">
        <v>0</v>
      </c>
      <c r="E1535" s="7">
        <f t="shared" si="23"/>
        <v>0</v>
      </c>
      <c r="F1535" s="8" t="s">
        <v>8</v>
      </c>
    </row>
    <row r="1536" spans="1:6" ht="18" customHeight="1">
      <c r="A1536" s="4" t="s">
        <v>40</v>
      </c>
      <c r="B1536" s="4" t="str">
        <f>"2020021904"</f>
        <v>2020021904</v>
      </c>
      <c r="C1536" s="5">
        <v>0</v>
      </c>
      <c r="D1536" s="6">
        <v>0</v>
      </c>
      <c r="E1536" s="7">
        <f t="shared" si="23"/>
        <v>0</v>
      </c>
      <c r="F1536" s="8" t="s">
        <v>8</v>
      </c>
    </row>
    <row r="1537" spans="1:6" ht="18" customHeight="1">
      <c r="A1537" s="4" t="s">
        <v>40</v>
      </c>
      <c r="B1537" s="4" t="str">
        <f>"2020021908"</f>
        <v>2020021908</v>
      </c>
      <c r="C1537" s="5">
        <v>0</v>
      </c>
      <c r="D1537" s="6">
        <v>0</v>
      </c>
      <c r="E1537" s="7">
        <f t="shared" si="23"/>
        <v>0</v>
      </c>
      <c r="F1537" s="8" t="s">
        <v>8</v>
      </c>
    </row>
    <row r="1538" spans="1:6" ht="18" customHeight="1">
      <c r="A1538" s="4" t="s">
        <v>40</v>
      </c>
      <c r="B1538" s="4" t="str">
        <f>"2020022029"</f>
        <v>2020022029</v>
      </c>
      <c r="C1538" s="5">
        <v>0</v>
      </c>
      <c r="D1538" s="6">
        <v>0</v>
      </c>
      <c r="E1538" s="7">
        <f t="shared" si="23"/>
        <v>0</v>
      </c>
      <c r="F1538" s="8" t="s">
        <v>8</v>
      </c>
    </row>
    <row r="1539" spans="1:6" ht="18" customHeight="1">
      <c r="A1539" s="4" t="s">
        <v>40</v>
      </c>
      <c r="B1539" s="4" t="str">
        <f>"2020022228"</f>
        <v>2020022228</v>
      </c>
      <c r="C1539" s="5">
        <v>0</v>
      </c>
      <c r="D1539" s="6">
        <v>0</v>
      </c>
      <c r="E1539" s="7">
        <f t="shared" ref="E1539:E1602" si="24">SUM(C1539:D1539)</f>
        <v>0</v>
      </c>
      <c r="F1539" s="8" t="s">
        <v>8</v>
      </c>
    </row>
    <row r="1540" spans="1:6" ht="18" customHeight="1">
      <c r="A1540" s="4" t="s">
        <v>40</v>
      </c>
      <c r="B1540" s="4" t="str">
        <f>"2020022529"</f>
        <v>2020022529</v>
      </c>
      <c r="C1540" s="5">
        <v>0</v>
      </c>
      <c r="D1540" s="6">
        <v>0</v>
      </c>
      <c r="E1540" s="7">
        <f t="shared" si="24"/>
        <v>0</v>
      </c>
      <c r="F1540" s="8" t="s">
        <v>8</v>
      </c>
    </row>
    <row r="1541" spans="1:6" ht="18" customHeight="1">
      <c r="A1541" s="4" t="s">
        <v>40</v>
      </c>
      <c r="B1541" s="4" t="str">
        <f>"2020023116"</f>
        <v>2020023116</v>
      </c>
      <c r="C1541" s="5">
        <v>0</v>
      </c>
      <c r="D1541" s="6">
        <v>0</v>
      </c>
      <c r="E1541" s="7">
        <f t="shared" si="24"/>
        <v>0</v>
      </c>
      <c r="F1541" s="8" t="s">
        <v>8</v>
      </c>
    </row>
    <row r="1542" spans="1:6" ht="18" customHeight="1">
      <c r="A1542" s="4" t="s">
        <v>40</v>
      </c>
      <c r="B1542" s="4" t="str">
        <f>"2020023629"</f>
        <v>2020023629</v>
      </c>
      <c r="C1542" s="5">
        <v>0</v>
      </c>
      <c r="D1542" s="6">
        <v>0</v>
      </c>
      <c r="E1542" s="7">
        <f t="shared" si="24"/>
        <v>0</v>
      </c>
      <c r="F1542" s="8" t="s">
        <v>8</v>
      </c>
    </row>
    <row r="1543" spans="1:6" ht="18" customHeight="1">
      <c r="A1543" s="4" t="s">
        <v>40</v>
      </c>
      <c r="B1543" s="4" t="str">
        <f>"2020023722"</f>
        <v>2020023722</v>
      </c>
      <c r="C1543" s="5">
        <v>0</v>
      </c>
      <c r="D1543" s="6">
        <v>0</v>
      </c>
      <c r="E1543" s="7">
        <f t="shared" si="24"/>
        <v>0</v>
      </c>
      <c r="F1543" s="8" t="s">
        <v>8</v>
      </c>
    </row>
    <row r="1544" spans="1:6" ht="18" customHeight="1">
      <c r="A1544" s="4" t="s">
        <v>40</v>
      </c>
      <c r="B1544" s="4" t="str">
        <f>"2020023728"</f>
        <v>2020023728</v>
      </c>
      <c r="C1544" s="5">
        <v>0</v>
      </c>
      <c r="D1544" s="6">
        <v>0</v>
      </c>
      <c r="E1544" s="7">
        <f t="shared" si="24"/>
        <v>0</v>
      </c>
      <c r="F1544" s="8" t="s">
        <v>8</v>
      </c>
    </row>
    <row r="1545" spans="1:6" ht="18" customHeight="1">
      <c r="A1545" s="4" t="s">
        <v>40</v>
      </c>
      <c r="B1545" s="4" t="str">
        <f>"2020023820"</f>
        <v>2020023820</v>
      </c>
      <c r="C1545" s="5">
        <v>0</v>
      </c>
      <c r="D1545" s="6">
        <v>0</v>
      </c>
      <c r="E1545" s="7">
        <f t="shared" si="24"/>
        <v>0</v>
      </c>
      <c r="F1545" s="8" t="s">
        <v>8</v>
      </c>
    </row>
    <row r="1546" spans="1:6" ht="18" customHeight="1">
      <c r="A1546" s="4" t="s">
        <v>40</v>
      </c>
      <c r="B1546" s="4" t="str">
        <f>"2020024111"</f>
        <v>2020024111</v>
      </c>
      <c r="C1546" s="5">
        <v>0</v>
      </c>
      <c r="D1546" s="6">
        <v>0</v>
      </c>
      <c r="E1546" s="7">
        <f t="shared" si="24"/>
        <v>0</v>
      </c>
      <c r="F1546" s="8" t="s">
        <v>8</v>
      </c>
    </row>
    <row r="1547" spans="1:6" ht="18" customHeight="1">
      <c r="A1547" s="4" t="s">
        <v>40</v>
      </c>
      <c r="B1547" s="4" t="str">
        <f>"2020024825"</f>
        <v>2020024825</v>
      </c>
      <c r="C1547" s="5">
        <v>0</v>
      </c>
      <c r="D1547" s="6">
        <v>0</v>
      </c>
      <c r="E1547" s="7">
        <f t="shared" si="24"/>
        <v>0</v>
      </c>
      <c r="F1547" s="8" t="s">
        <v>8</v>
      </c>
    </row>
    <row r="1548" spans="1:6" ht="18" customHeight="1">
      <c r="A1548" s="4" t="s">
        <v>40</v>
      </c>
      <c r="B1548" s="4" t="str">
        <f>"2020030521"</f>
        <v>2020030521</v>
      </c>
      <c r="C1548" s="5">
        <v>0</v>
      </c>
      <c r="D1548" s="6">
        <v>0</v>
      </c>
      <c r="E1548" s="7">
        <f t="shared" si="24"/>
        <v>0</v>
      </c>
      <c r="F1548" s="8" t="s">
        <v>8</v>
      </c>
    </row>
    <row r="1549" spans="1:6" ht="18" customHeight="1">
      <c r="A1549" s="4" t="s">
        <v>40</v>
      </c>
      <c r="B1549" s="4" t="str">
        <f>"2020031005"</f>
        <v>2020031005</v>
      </c>
      <c r="C1549" s="5">
        <v>0</v>
      </c>
      <c r="D1549" s="6">
        <v>0</v>
      </c>
      <c r="E1549" s="7">
        <f t="shared" si="24"/>
        <v>0</v>
      </c>
      <c r="F1549" s="8" t="s">
        <v>8</v>
      </c>
    </row>
    <row r="1550" spans="1:6" ht="18" customHeight="1">
      <c r="A1550" s="4" t="s">
        <v>40</v>
      </c>
      <c r="B1550" s="4" t="str">
        <f>"2020031222"</f>
        <v>2020031222</v>
      </c>
      <c r="C1550" s="5">
        <v>0</v>
      </c>
      <c r="D1550" s="6">
        <v>0</v>
      </c>
      <c r="E1550" s="7">
        <f t="shared" si="24"/>
        <v>0</v>
      </c>
      <c r="F1550" s="8" t="s">
        <v>8</v>
      </c>
    </row>
    <row r="1551" spans="1:6" ht="18" customHeight="1">
      <c r="A1551" s="4" t="s">
        <v>40</v>
      </c>
      <c r="B1551" s="4" t="str">
        <f>"2020031302"</f>
        <v>2020031302</v>
      </c>
      <c r="C1551" s="5">
        <v>0</v>
      </c>
      <c r="D1551" s="6">
        <v>0</v>
      </c>
      <c r="E1551" s="7">
        <f t="shared" si="24"/>
        <v>0</v>
      </c>
      <c r="F1551" s="8" t="s">
        <v>8</v>
      </c>
    </row>
    <row r="1552" spans="1:6" ht="18" customHeight="1">
      <c r="A1552" s="4" t="s">
        <v>40</v>
      </c>
      <c r="B1552" s="4" t="str">
        <f>"2020031806"</f>
        <v>2020031806</v>
      </c>
      <c r="C1552" s="5">
        <v>0</v>
      </c>
      <c r="D1552" s="6">
        <v>0</v>
      </c>
      <c r="E1552" s="7">
        <f t="shared" si="24"/>
        <v>0</v>
      </c>
      <c r="F1552" s="8" t="s">
        <v>8</v>
      </c>
    </row>
    <row r="1553" spans="1:6" ht="18" customHeight="1">
      <c r="A1553" s="4" t="s">
        <v>40</v>
      </c>
      <c r="B1553" s="4" t="str">
        <f>"2020031823"</f>
        <v>2020031823</v>
      </c>
      <c r="C1553" s="5">
        <v>0</v>
      </c>
      <c r="D1553" s="6">
        <v>0</v>
      </c>
      <c r="E1553" s="7">
        <f t="shared" si="24"/>
        <v>0</v>
      </c>
      <c r="F1553" s="8" t="s">
        <v>8</v>
      </c>
    </row>
    <row r="1554" spans="1:6" ht="18" customHeight="1">
      <c r="A1554" s="4" t="s">
        <v>40</v>
      </c>
      <c r="B1554" s="4" t="str">
        <f>"2020032229"</f>
        <v>2020032229</v>
      </c>
      <c r="C1554" s="5">
        <v>0</v>
      </c>
      <c r="D1554" s="6">
        <v>0</v>
      </c>
      <c r="E1554" s="7">
        <f t="shared" si="24"/>
        <v>0</v>
      </c>
      <c r="F1554" s="8" t="s">
        <v>8</v>
      </c>
    </row>
    <row r="1555" spans="1:6" ht="18" customHeight="1">
      <c r="A1555" s="4" t="s">
        <v>40</v>
      </c>
      <c r="B1555" s="4" t="str">
        <f>"2020032513"</f>
        <v>2020032513</v>
      </c>
      <c r="C1555" s="5">
        <v>0</v>
      </c>
      <c r="D1555" s="6">
        <v>0</v>
      </c>
      <c r="E1555" s="7">
        <f t="shared" si="24"/>
        <v>0</v>
      </c>
      <c r="F1555" s="8" t="s">
        <v>8</v>
      </c>
    </row>
    <row r="1556" spans="1:6" ht="18" customHeight="1">
      <c r="A1556" s="4" t="s">
        <v>40</v>
      </c>
      <c r="B1556" s="4" t="str">
        <f>"2020032522"</f>
        <v>2020032522</v>
      </c>
      <c r="C1556" s="5">
        <v>0</v>
      </c>
      <c r="D1556" s="6">
        <v>0</v>
      </c>
      <c r="E1556" s="7">
        <f t="shared" si="24"/>
        <v>0</v>
      </c>
      <c r="F1556" s="8" t="s">
        <v>8</v>
      </c>
    </row>
    <row r="1557" spans="1:6" ht="18" customHeight="1">
      <c r="A1557" s="4" t="s">
        <v>40</v>
      </c>
      <c r="B1557" s="4" t="str">
        <f>"2020032705"</f>
        <v>2020032705</v>
      </c>
      <c r="C1557" s="5">
        <v>0</v>
      </c>
      <c r="D1557" s="6">
        <v>0</v>
      </c>
      <c r="E1557" s="7">
        <f t="shared" si="24"/>
        <v>0</v>
      </c>
      <c r="F1557" s="8" t="s">
        <v>8</v>
      </c>
    </row>
    <row r="1558" spans="1:6" ht="18" customHeight="1">
      <c r="A1558" s="4" t="s">
        <v>40</v>
      </c>
      <c r="B1558" s="4" t="str">
        <f>"2020033626"</f>
        <v>2020033626</v>
      </c>
      <c r="C1558" s="5">
        <v>0</v>
      </c>
      <c r="D1558" s="6">
        <v>0</v>
      </c>
      <c r="E1558" s="7">
        <f t="shared" si="24"/>
        <v>0</v>
      </c>
      <c r="F1558" s="8" t="s">
        <v>8</v>
      </c>
    </row>
    <row r="1559" spans="1:6" ht="18" customHeight="1">
      <c r="A1559" s="4" t="s">
        <v>40</v>
      </c>
      <c r="B1559" s="4" t="str">
        <f>"2020040105"</f>
        <v>2020040105</v>
      </c>
      <c r="C1559" s="5">
        <v>0</v>
      </c>
      <c r="D1559" s="6">
        <v>0</v>
      </c>
      <c r="E1559" s="7">
        <f t="shared" si="24"/>
        <v>0</v>
      </c>
      <c r="F1559" s="8" t="s">
        <v>8</v>
      </c>
    </row>
    <row r="1560" spans="1:6" ht="18" customHeight="1">
      <c r="A1560" s="4" t="s">
        <v>40</v>
      </c>
      <c r="B1560" s="4" t="str">
        <f>"2020040405"</f>
        <v>2020040405</v>
      </c>
      <c r="C1560" s="5">
        <v>0</v>
      </c>
      <c r="D1560" s="6">
        <v>0</v>
      </c>
      <c r="E1560" s="7">
        <f t="shared" si="24"/>
        <v>0</v>
      </c>
      <c r="F1560" s="8" t="s">
        <v>8</v>
      </c>
    </row>
    <row r="1561" spans="1:6" ht="18" customHeight="1">
      <c r="A1561" s="4" t="s">
        <v>40</v>
      </c>
      <c r="B1561" s="4" t="str">
        <f>"2020040626"</f>
        <v>2020040626</v>
      </c>
      <c r="C1561" s="5">
        <v>0</v>
      </c>
      <c r="D1561" s="6">
        <v>0</v>
      </c>
      <c r="E1561" s="7">
        <f t="shared" si="24"/>
        <v>0</v>
      </c>
      <c r="F1561" s="8" t="s">
        <v>8</v>
      </c>
    </row>
    <row r="1562" spans="1:6" ht="18" customHeight="1">
      <c r="A1562" s="4" t="s">
        <v>40</v>
      </c>
      <c r="B1562" s="4" t="str">
        <f>"2020041113"</f>
        <v>2020041113</v>
      </c>
      <c r="C1562" s="5">
        <v>0</v>
      </c>
      <c r="D1562" s="6">
        <v>0</v>
      </c>
      <c r="E1562" s="7">
        <f t="shared" si="24"/>
        <v>0</v>
      </c>
      <c r="F1562" s="8" t="s">
        <v>8</v>
      </c>
    </row>
    <row r="1563" spans="1:6" ht="18" customHeight="1">
      <c r="A1563" s="4" t="s">
        <v>40</v>
      </c>
      <c r="B1563" s="4" t="str">
        <f>"2020041122"</f>
        <v>2020041122</v>
      </c>
      <c r="C1563" s="5">
        <v>0</v>
      </c>
      <c r="D1563" s="6">
        <v>0</v>
      </c>
      <c r="E1563" s="7">
        <f t="shared" si="24"/>
        <v>0</v>
      </c>
      <c r="F1563" s="8" t="s">
        <v>8</v>
      </c>
    </row>
    <row r="1564" spans="1:6" ht="18" customHeight="1">
      <c r="A1564" s="4" t="s">
        <v>40</v>
      </c>
      <c r="B1564" s="4" t="str">
        <f>"2020041417"</f>
        <v>2020041417</v>
      </c>
      <c r="C1564" s="5">
        <v>0</v>
      </c>
      <c r="D1564" s="6">
        <v>0</v>
      </c>
      <c r="E1564" s="7">
        <f t="shared" si="24"/>
        <v>0</v>
      </c>
      <c r="F1564" s="8" t="s">
        <v>8</v>
      </c>
    </row>
    <row r="1565" spans="1:6" ht="18" customHeight="1">
      <c r="A1565" s="4" t="s">
        <v>40</v>
      </c>
      <c r="B1565" s="4" t="str">
        <f>"2020042302"</f>
        <v>2020042302</v>
      </c>
      <c r="C1565" s="5">
        <v>0</v>
      </c>
      <c r="D1565" s="6">
        <v>0</v>
      </c>
      <c r="E1565" s="7">
        <f t="shared" si="24"/>
        <v>0</v>
      </c>
      <c r="F1565" s="8" t="s">
        <v>8</v>
      </c>
    </row>
    <row r="1566" spans="1:6" ht="18" customHeight="1">
      <c r="A1566" s="4" t="s">
        <v>40</v>
      </c>
      <c r="B1566" s="4" t="str">
        <f>"2020042723"</f>
        <v>2020042723</v>
      </c>
      <c r="C1566" s="5">
        <v>0</v>
      </c>
      <c r="D1566" s="6">
        <v>0</v>
      </c>
      <c r="E1566" s="7">
        <f t="shared" si="24"/>
        <v>0</v>
      </c>
      <c r="F1566" s="8" t="s">
        <v>8</v>
      </c>
    </row>
    <row r="1567" spans="1:6" ht="18" customHeight="1">
      <c r="A1567" s="4" t="s">
        <v>40</v>
      </c>
      <c r="B1567" s="4" t="str">
        <f>"2020042928"</f>
        <v>2020042928</v>
      </c>
      <c r="C1567" s="5">
        <v>0</v>
      </c>
      <c r="D1567" s="6">
        <v>0</v>
      </c>
      <c r="E1567" s="7">
        <f t="shared" si="24"/>
        <v>0</v>
      </c>
      <c r="F1567" s="8" t="s">
        <v>8</v>
      </c>
    </row>
    <row r="1568" spans="1:6" ht="18" customHeight="1">
      <c r="A1568" s="4" t="s">
        <v>40</v>
      </c>
      <c r="B1568" s="4" t="str">
        <f>"2020043002"</f>
        <v>2020043002</v>
      </c>
      <c r="C1568" s="5">
        <v>0</v>
      </c>
      <c r="D1568" s="6">
        <v>0</v>
      </c>
      <c r="E1568" s="7">
        <f t="shared" si="24"/>
        <v>0</v>
      </c>
      <c r="F1568" s="8" t="s">
        <v>8</v>
      </c>
    </row>
    <row r="1569" spans="1:6" ht="18" customHeight="1">
      <c r="A1569" s="4" t="s">
        <v>40</v>
      </c>
      <c r="B1569" s="4" t="str">
        <f>"2020043105"</f>
        <v>2020043105</v>
      </c>
      <c r="C1569" s="5">
        <v>0</v>
      </c>
      <c r="D1569" s="6">
        <v>0</v>
      </c>
      <c r="E1569" s="7">
        <f t="shared" si="24"/>
        <v>0</v>
      </c>
      <c r="F1569" s="8" t="s">
        <v>8</v>
      </c>
    </row>
    <row r="1570" spans="1:6" ht="18" customHeight="1">
      <c r="A1570" s="4" t="s">
        <v>40</v>
      </c>
      <c r="B1570" s="4" t="str">
        <f>"2020043421"</f>
        <v>2020043421</v>
      </c>
      <c r="C1570" s="5">
        <v>0</v>
      </c>
      <c r="D1570" s="6">
        <v>0</v>
      </c>
      <c r="E1570" s="7">
        <f t="shared" si="24"/>
        <v>0</v>
      </c>
      <c r="F1570" s="8" t="s">
        <v>8</v>
      </c>
    </row>
    <row r="1571" spans="1:6" ht="18" customHeight="1">
      <c r="A1571" s="4" t="s">
        <v>40</v>
      </c>
      <c r="B1571" s="4" t="str">
        <f>"2020043716"</f>
        <v>2020043716</v>
      </c>
      <c r="C1571" s="5">
        <v>0</v>
      </c>
      <c r="D1571" s="6">
        <v>0</v>
      </c>
      <c r="E1571" s="7">
        <f t="shared" si="24"/>
        <v>0</v>
      </c>
      <c r="F1571" s="8" t="s">
        <v>8</v>
      </c>
    </row>
    <row r="1572" spans="1:6" ht="18" customHeight="1">
      <c r="A1572" s="4" t="s">
        <v>40</v>
      </c>
      <c r="B1572" s="4" t="str">
        <f>"2020043717"</f>
        <v>2020043717</v>
      </c>
      <c r="C1572" s="5">
        <v>0</v>
      </c>
      <c r="D1572" s="6">
        <v>0</v>
      </c>
      <c r="E1572" s="7">
        <f t="shared" si="24"/>
        <v>0</v>
      </c>
      <c r="F1572" s="8" t="s">
        <v>8</v>
      </c>
    </row>
    <row r="1573" spans="1:6" ht="18" customHeight="1">
      <c r="A1573" s="4" t="s">
        <v>40</v>
      </c>
      <c r="B1573" s="4" t="str">
        <f>"2020043812"</f>
        <v>2020043812</v>
      </c>
      <c r="C1573" s="5">
        <v>0</v>
      </c>
      <c r="D1573" s="6">
        <v>0</v>
      </c>
      <c r="E1573" s="7">
        <f t="shared" si="24"/>
        <v>0</v>
      </c>
      <c r="F1573" s="8" t="s">
        <v>8</v>
      </c>
    </row>
    <row r="1574" spans="1:6" ht="18" customHeight="1">
      <c r="A1574" s="4" t="s">
        <v>40</v>
      </c>
      <c r="B1574" s="4" t="str">
        <f>"2020044119"</f>
        <v>2020044119</v>
      </c>
      <c r="C1574" s="5">
        <v>0</v>
      </c>
      <c r="D1574" s="6">
        <v>0</v>
      </c>
      <c r="E1574" s="7">
        <f t="shared" si="24"/>
        <v>0</v>
      </c>
      <c r="F1574" s="8" t="s">
        <v>8</v>
      </c>
    </row>
    <row r="1575" spans="1:6" ht="18" customHeight="1">
      <c r="A1575" s="4" t="s">
        <v>40</v>
      </c>
      <c r="B1575" s="4" t="str">
        <f>"2020044604"</f>
        <v>2020044604</v>
      </c>
      <c r="C1575" s="5">
        <v>0</v>
      </c>
      <c r="D1575" s="6">
        <v>0</v>
      </c>
      <c r="E1575" s="7">
        <f t="shared" si="24"/>
        <v>0</v>
      </c>
      <c r="F1575" s="8" t="s">
        <v>8</v>
      </c>
    </row>
    <row r="1576" spans="1:6" ht="18" customHeight="1">
      <c r="A1576" s="4" t="s">
        <v>40</v>
      </c>
      <c r="B1576" s="4" t="str">
        <f>"2020044620"</f>
        <v>2020044620</v>
      </c>
      <c r="C1576" s="5">
        <v>0</v>
      </c>
      <c r="D1576" s="6">
        <v>0</v>
      </c>
      <c r="E1576" s="7">
        <f t="shared" si="24"/>
        <v>0</v>
      </c>
      <c r="F1576" s="8" t="s">
        <v>8</v>
      </c>
    </row>
    <row r="1577" spans="1:6" ht="18" customHeight="1">
      <c r="A1577" s="4" t="s">
        <v>40</v>
      </c>
      <c r="B1577" s="4" t="str">
        <f>"2020044715"</f>
        <v>2020044715</v>
      </c>
      <c r="C1577" s="5">
        <v>0</v>
      </c>
      <c r="D1577" s="6">
        <v>0</v>
      </c>
      <c r="E1577" s="7">
        <f t="shared" si="24"/>
        <v>0</v>
      </c>
      <c r="F1577" s="8" t="s">
        <v>8</v>
      </c>
    </row>
    <row r="1578" spans="1:6" ht="18" customHeight="1">
      <c r="A1578" s="4" t="s">
        <v>40</v>
      </c>
      <c r="B1578" s="4" t="str">
        <f>"2020045228"</f>
        <v>2020045228</v>
      </c>
      <c r="C1578" s="5">
        <v>0</v>
      </c>
      <c r="D1578" s="6">
        <v>0</v>
      </c>
      <c r="E1578" s="7">
        <f t="shared" si="24"/>
        <v>0</v>
      </c>
      <c r="F1578" s="8" t="s">
        <v>8</v>
      </c>
    </row>
    <row r="1579" spans="1:6" ht="18" customHeight="1">
      <c r="A1579" s="4" t="s">
        <v>40</v>
      </c>
      <c r="B1579" s="4" t="str">
        <f>"2020045511"</f>
        <v>2020045511</v>
      </c>
      <c r="C1579" s="5">
        <v>0</v>
      </c>
      <c r="D1579" s="6">
        <v>0</v>
      </c>
      <c r="E1579" s="7">
        <f t="shared" si="24"/>
        <v>0</v>
      </c>
      <c r="F1579" s="8" t="s">
        <v>8</v>
      </c>
    </row>
    <row r="1580" spans="1:6" ht="18" customHeight="1">
      <c r="A1580" s="4" t="s">
        <v>40</v>
      </c>
      <c r="B1580" s="4" t="str">
        <f>"2020045711"</f>
        <v>2020045711</v>
      </c>
      <c r="C1580" s="5">
        <v>0</v>
      </c>
      <c r="D1580" s="6">
        <v>0</v>
      </c>
      <c r="E1580" s="7">
        <f t="shared" si="24"/>
        <v>0</v>
      </c>
      <c r="F1580" s="8" t="s">
        <v>8</v>
      </c>
    </row>
    <row r="1581" spans="1:6" ht="18" customHeight="1">
      <c r="A1581" s="4" t="s">
        <v>40</v>
      </c>
      <c r="B1581" s="4" t="str">
        <f>"2020046514"</f>
        <v>2020046514</v>
      </c>
      <c r="C1581" s="5">
        <v>0</v>
      </c>
      <c r="D1581" s="6">
        <v>0</v>
      </c>
      <c r="E1581" s="7">
        <f t="shared" si="24"/>
        <v>0</v>
      </c>
      <c r="F1581" s="8" t="s">
        <v>8</v>
      </c>
    </row>
    <row r="1582" spans="1:6" ht="18" customHeight="1">
      <c r="A1582" s="4" t="s">
        <v>40</v>
      </c>
      <c r="B1582" s="4" t="str">
        <f>"2020046721"</f>
        <v>2020046721</v>
      </c>
      <c r="C1582" s="5">
        <v>0</v>
      </c>
      <c r="D1582" s="6">
        <v>0</v>
      </c>
      <c r="E1582" s="7">
        <f t="shared" si="24"/>
        <v>0</v>
      </c>
      <c r="F1582" s="8" t="s">
        <v>8</v>
      </c>
    </row>
    <row r="1583" spans="1:6" ht="18" customHeight="1">
      <c r="A1583" s="4" t="s">
        <v>40</v>
      </c>
      <c r="B1583" s="4" t="str">
        <f>"2020046730"</f>
        <v>2020046730</v>
      </c>
      <c r="C1583" s="5">
        <v>0</v>
      </c>
      <c r="D1583" s="6">
        <v>0</v>
      </c>
      <c r="E1583" s="7">
        <f t="shared" si="24"/>
        <v>0</v>
      </c>
      <c r="F1583" s="8" t="s">
        <v>8</v>
      </c>
    </row>
    <row r="1584" spans="1:6" ht="18" customHeight="1">
      <c r="A1584" s="4" t="s">
        <v>40</v>
      </c>
      <c r="B1584" s="4" t="str">
        <f>"2020046901"</f>
        <v>2020046901</v>
      </c>
      <c r="C1584" s="5">
        <v>0</v>
      </c>
      <c r="D1584" s="6">
        <v>0</v>
      </c>
      <c r="E1584" s="7">
        <f t="shared" si="24"/>
        <v>0</v>
      </c>
      <c r="F1584" s="8" t="s">
        <v>8</v>
      </c>
    </row>
    <row r="1585" spans="1:6" ht="18" customHeight="1">
      <c r="A1585" s="4" t="s">
        <v>40</v>
      </c>
      <c r="B1585" s="4" t="str">
        <f>"2020047112"</f>
        <v>2020047112</v>
      </c>
      <c r="C1585" s="5">
        <v>0</v>
      </c>
      <c r="D1585" s="6">
        <v>0</v>
      </c>
      <c r="E1585" s="7">
        <f t="shared" si="24"/>
        <v>0</v>
      </c>
      <c r="F1585" s="8" t="s">
        <v>8</v>
      </c>
    </row>
    <row r="1586" spans="1:6" ht="18" customHeight="1">
      <c r="A1586" s="4" t="s">
        <v>40</v>
      </c>
      <c r="B1586" s="4" t="str">
        <f>"2020047605"</f>
        <v>2020047605</v>
      </c>
      <c r="C1586" s="5">
        <v>0</v>
      </c>
      <c r="D1586" s="6">
        <v>0</v>
      </c>
      <c r="E1586" s="7">
        <f t="shared" si="24"/>
        <v>0</v>
      </c>
      <c r="F1586" s="8" t="s">
        <v>8</v>
      </c>
    </row>
    <row r="1587" spans="1:6" ht="18" customHeight="1">
      <c r="A1587" s="4" t="s">
        <v>41</v>
      </c>
      <c r="B1587" s="4" t="str">
        <f>"2020042909"</f>
        <v>2020042909</v>
      </c>
      <c r="C1587" s="5">
        <v>76.7</v>
      </c>
      <c r="D1587" s="6">
        <v>76.5</v>
      </c>
      <c r="E1587" s="7">
        <f t="shared" si="24"/>
        <v>153.19999999999999</v>
      </c>
      <c r="F1587" s="8"/>
    </row>
    <row r="1588" spans="1:6" ht="18" customHeight="1">
      <c r="A1588" s="4" t="s">
        <v>41</v>
      </c>
      <c r="B1588" s="4" t="str">
        <f>"2020023003"</f>
        <v>2020023003</v>
      </c>
      <c r="C1588" s="5">
        <v>75.599999999999994</v>
      </c>
      <c r="D1588" s="6">
        <v>73.5</v>
      </c>
      <c r="E1588" s="7">
        <f t="shared" si="24"/>
        <v>149.1</v>
      </c>
      <c r="F1588" s="8"/>
    </row>
    <row r="1589" spans="1:6" ht="18" customHeight="1">
      <c r="A1589" s="4" t="s">
        <v>41</v>
      </c>
      <c r="B1589" s="4" t="str">
        <f>"2020031102"</f>
        <v>2020031102</v>
      </c>
      <c r="C1589" s="5">
        <v>70.8</v>
      </c>
      <c r="D1589" s="6">
        <v>77.5</v>
      </c>
      <c r="E1589" s="7">
        <f t="shared" si="24"/>
        <v>148.30000000000001</v>
      </c>
      <c r="F1589" s="8"/>
    </row>
    <row r="1590" spans="1:6" ht="18" customHeight="1">
      <c r="A1590" s="4" t="s">
        <v>41</v>
      </c>
      <c r="B1590" s="4" t="str">
        <f>"2020020504"</f>
        <v>2020020504</v>
      </c>
      <c r="C1590" s="5">
        <v>67.900000000000006</v>
      </c>
      <c r="D1590" s="6">
        <v>80</v>
      </c>
      <c r="E1590" s="7">
        <f t="shared" si="24"/>
        <v>147.9</v>
      </c>
      <c r="F1590" s="8"/>
    </row>
    <row r="1591" spans="1:6" ht="18" customHeight="1">
      <c r="A1591" s="4" t="s">
        <v>41</v>
      </c>
      <c r="B1591" s="4" t="str">
        <f>"2020014016"</f>
        <v>2020014016</v>
      </c>
      <c r="C1591" s="5">
        <v>75.5</v>
      </c>
      <c r="D1591" s="6">
        <v>72</v>
      </c>
      <c r="E1591" s="7">
        <f t="shared" si="24"/>
        <v>147.5</v>
      </c>
      <c r="F1591" s="8"/>
    </row>
    <row r="1592" spans="1:6" ht="18" customHeight="1">
      <c r="A1592" s="4" t="s">
        <v>41</v>
      </c>
      <c r="B1592" s="4" t="str">
        <f>"2020011621"</f>
        <v>2020011621</v>
      </c>
      <c r="C1592" s="5">
        <v>73.3</v>
      </c>
      <c r="D1592" s="6">
        <v>73</v>
      </c>
      <c r="E1592" s="7">
        <f t="shared" si="24"/>
        <v>146.30000000000001</v>
      </c>
      <c r="F1592" s="8"/>
    </row>
    <row r="1593" spans="1:6" ht="18" customHeight="1">
      <c r="A1593" s="4" t="s">
        <v>41</v>
      </c>
      <c r="B1593" s="4" t="str">
        <f>"2020032115"</f>
        <v>2020032115</v>
      </c>
      <c r="C1593" s="5">
        <v>66.900000000000006</v>
      </c>
      <c r="D1593" s="6">
        <v>79</v>
      </c>
      <c r="E1593" s="7">
        <f t="shared" si="24"/>
        <v>145.9</v>
      </c>
      <c r="F1593" s="8"/>
    </row>
    <row r="1594" spans="1:6" ht="18" customHeight="1">
      <c r="A1594" s="4" t="s">
        <v>41</v>
      </c>
      <c r="B1594" s="4" t="str">
        <f>"2020011505"</f>
        <v>2020011505</v>
      </c>
      <c r="C1594" s="5">
        <v>73.3</v>
      </c>
      <c r="D1594" s="6">
        <v>71</v>
      </c>
      <c r="E1594" s="7">
        <f t="shared" si="24"/>
        <v>144.30000000000001</v>
      </c>
      <c r="F1594" s="8"/>
    </row>
    <row r="1595" spans="1:6" ht="18" customHeight="1">
      <c r="A1595" s="4" t="s">
        <v>41</v>
      </c>
      <c r="B1595" s="4" t="str">
        <f>"2020030816"</f>
        <v>2020030816</v>
      </c>
      <c r="C1595" s="5">
        <v>70</v>
      </c>
      <c r="D1595" s="6">
        <v>74</v>
      </c>
      <c r="E1595" s="7">
        <f t="shared" si="24"/>
        <v>144</v>
      </c>
      <c r="F1595" s="8"/>
    </row>
    <row r="1596" spans="1:6" ht="18" customHeight="1">
      <c r="A1596" s="4" t="s">
        <v>41</v>
      </c>
      <c r="B1596" s="4" t="str">
        <f>"2020033629"</f>
        <v>2020033629</v>
      </c>
      <c r="C1596" s="5">
        <v>73.599999999999994</v>
      </c>
      <c r="D1596" s="6">
        <v>70</v>
      </c>
      <c r="E1596" s="7">
        <f t="shared" si="24"/>
        <v>143.6</v>
      </c>
      <c r="F1596" s="8"/>
    </row>
    <row r="1597" spans="1:6" ht="18" customHeight="1">
      <c r="A1597" s="4" t="s">
        <v>41</v>
      </c>
      <c r="B1597" s="4" t="str">
        <f>"2020032506"</f>
        <v>2020032506</v>
      </c>
      <c r="C1597" s="5">
        <v>68.599999999999994</v>
      </c>
      <c r="D1597" s="6">
        <v>75</v>
      </c>
      <c r="E1597" s="7">
        <f t="shared" si="24"/>
        <v>143.6</v>
      </c>
      <c r="F1597" s="8"/>
    </row>
    <row r="1598" spans="1:6" ht="18" customHeight="1">
      <c r="A1598" s="4" t="s">
        <v>41</v>
      </c>
      <c r="B1598" s="4" t="str">
        <f>"2020033523"</f>
        <v>2020033523</v>
      </c>
      <c r="C1598" s="5">
        <v>73.400000000000006</v>
      </c>
      <c r="D1598" s="6">
        <v>69.5</v>
      </c>
      <c r="E1598" s="7">
        <f t="shared" si="24"/>
        <v>142.9</v>
      </c>
      <c r="F1598" s="8"/>
    </row>
    <row r="1599" spans="1:6" ht="18" customHeight="1">
      <c r="A1599" s="4" t="s">
        <v>41</v>
      </c>
      <c r="B1599" s="4" t="str">
        <f>"2020030814"</f>
        <v>2020030814</v>
      </c>
      <c r="C1599" s="5">
        <v>77.5</v>
      </c>
      <c r="D1599" s="6">
        <v>65</v>
      </c>
      <c r="E1599" s="7">
        <f t="shared" si="24"/>
        <v>142.5</v>
      </c>
      <c r="F1599" s="8"/>
    </row>
    <row r="1600" spans="1:6" ht="18" customHeight="1">
      <c r="A1600" s="4" t="s">
        <v>41</v>
      </c>
      <c r="B1600" s="4" t="str">
        <f>"2020022315"</f>
        <v>2020022315</v>
      </c>
      <c r="C1600" s="5">
        <v>75.5</v>
      </c>
      <c r="D1600" s="6">
        <v>67</v>
      </c>
      <c r="E1600" s="7">
        <f t="shared" si="24"/>
        <v>142.5</v>
      </c>
      <c r="F1600" s="8"/>
    </row>
    <row r="1601" spans="1:6" ht="18" customHeight="1">
      <c r="A1601" s="4" t="s">
        <v>41</v>
      </c>
      <c r="B1601" s="4" t="str">
        <f>"2020010312"</f>
        <v>2020010312</v>
      </c>
      <c r="C1601" s="5">
        <v>72.599999999999994</v>
      </c>
      <c r="D1601" s="6">
        <v>69.5</v>
      </c>
      <c r="E1601" s="7">
        <f t="shared" si="24"/>
        <v>142.1</v>
      </c>
      <c r="F1601" s="8"/>
    </row>
    <row r="1602" spans="1:6" ht="18" customHeight="1">
      <c r="A1602" s="4" t="s">
        <v>41</v>
      </c>
      <c r="B1602" s="4" t="str">
        <f>"2020011905"</f>
        <v>2020011905</v>
      </c>
      <c r="C1602" s="5">
        <v>70.5</v>
      </c>
      <c r="D1602" s="6">
        <v>71</v>
      </c>
      <c r="E1602" s="7">
        <f t="shared" si="24"/>
        <v>141.5</v>
      </c>
      <c r="F1602" s="8"/>
    </row>
    <row r="1603" spans="1:6" ht="18" customHeight="1">
      <c r="A1603" s="4" t="s">
        <v>41</v>
      </c>
      <c r="B1603" s="4" t="str">
        <f>"2020011903"</f>
        <v>2020011903</v>
      </c>
      <c r="C1603" s="5">
        <v>65.5</v>
      </c>
      <c r="D1603" s="6">
        <v>76</v>
      </c>
      <c r="E1603" s="7">
        <f t="shared" ref="E1603:E1666" si="25">SUM(C1603:D1603)</f>
        <v>141.5</v>
      </c>
      <c r="F1603" s="8"/>
    </row>
    <row r="1604" spans="1:6" ht="18" customHeight="1">
      <c r="A1604" s="4" t="s">
        <v>41</v>
      </c>
      <c r="B1604" s="4" t="str">
        <f>"2020013222"</f>
        <v>2020013222</v>
      </c>
      <c r="C1604" s="5">
        <v>70.400000000000006</v>
      </c>
      <c r="D1604" s="6">
        <v>71</v>
      </c>
      <c r="E1604" s="7">
        <f t="shared" si="25"/>
        <v>141.4</v>
      </c>
      <c r="F1604" s="8"/>
    </row>
    <row r="1605" spans="1:6" ht="18" customHeight="1">
      <c r="A1605" s="4" t="s">
        <v>41</v>
      </c>
      <c r="B1605" s="4" t="str">
        <f>"2020042014"</f>
        <v>2020042014</v>
      </c>
      <c r="C1605" s="5">
        <v>73.900000000000006</v>
      </c>
      <c r="D1605" s="6">
        <v>67</v>
      </c>
      <c r="E1605" s="7">
        <f t="shared" si="25"/>
        <v>140.9</v>
      </c>
      <c r="F1605" s="8"/>
    </row>
    <row r="1606" spans="1:6" ht="18" customHeight="1">
      <c r="A1606" s="4" t="s">
        <v>41</v>
      </c>
      <c r="B1606" s="4" t="str">
        <f>"2020034002"</f>
        <v>2020034002</v>
      </c>
      <c r="C1606" s="5">
        <v>74.900000000000006</v>
      </c>
      <c r="D1606" s="6">
        <v>65.5</v>
      </c>
      <c r="E1606" s="7">
        <f t="shared" si="25"/>
        <v>140.4</v>
      </c>
      <c r="F1606" s="8"/>
    </row>
    <row r="1607" spans="1:6" ht="18" customHeight="1">
      <c r="A1607" s="4" t="s">
        <v>41</v>
      </c>
      <c r="B1607" s="4" t="str">
        <f>"2020030426"</f>
        <v>2020030426</v>
      </c>
      <c r="C1607" s="5">
        <v>78.599999999999994</v>
      </c>
      <c r="D1607" s="6">
        <v>61.5</v>
      </c>
      <c r="E1607" s="7">
        <f t="shared" si="25"/>
        <v>140.1</v>
      </c>
      <c r="F1607" s="8"/>
    </row>
    <row r="1608" spans="1:6" ht="18" customHeight="1">
      <c r="A1608" s="4" t="s">
        <v>41</v>
      </c>
      <c r="B1608" s="4" t="str">
        <f>"2020030314"</f>
        <v>2020030314</v>
      </c>
      <c r="C1608" s="5">
        <v>70.2</v>
      </c>
      <c r="D1608" s="6">
        <v>69.5</v>
      </c>
      <c r="E1608" s="7">
        <f t="shared" si="25"/>
        <v>139.69999999999999</v>
      </c>
      <c r="F1608" s="8"/>
    </row>
    <row r="1609" spans="1:6" ht="18" customHeight="1">
      <c r="A1609" s="4" t="s">
        <v>41</v>
      </c>
      <c r="B1609" s="4" t="str">
        <f>"2020011610"</f>
        <v>2020011610</v>
      </c>
      <c r="C1609" s="5">
        <v>64.900000000000006</v>
      </c>
      <c r="D1609" s="6">
        <v>74</v>
      </c>
      <c r="E1609" s="7">
        <f t="shared" si="25"/>
        <v>138.9</v>
      </c>
      <c r="F1609" s="8"/>
    </row>
    <row r="1610" spans="1:6" ht="18" customHeight="1">
      <c r="A1610" s="4" t="s">
        <v>41</v>
      </c>
      <c r="B1610" s="4" t="str">
        <f>"2020047601"</f>
        <v>2020047601</v>
      </c>
      <c r="C1610" s="5">
        <v>71.3</v>
      </c>
      <c r="D1610" s="6">
        <v>66</v>
      </c>
      <c r="E1610" s="7">
        <f t="shared" si="25"/>
        <v>137.30000000000001</v>
      </c>
      <c r="F1610" s="8"/>
    </row>
    <row r="1611" spans="1:6" ht="18" customHeight="1">
      <c r="A1611" s="4" t="s">
        <v>41</v>
      </c>
      <c r="B1611" s="4" t="str">
        <f>"2020012730"</f>
        <v>2020012730</v>
      </c>
      <c r="C1611" s="5">
        <v>65.2</v>
      </c>
      <c r="D1611" s="6">
        <v>72</v>
      </c>
      <c r="E1611" s="7">
        <f t="shared" si="25"/>
        <v>137.19999999999999</v>
      </c>
      <c r="F1611" s="8"/>
    </row>
    <row r="1612" spans="1:6" ht="18" customHeight="1">
      <c r="A1612" s="4" t="s">
        <v>41</v>
      </c>
      <c r="B1612" s="4" t="str">
        <f>"2020044118"</f>
        <v>2020044118</v>
      </c>
      <c r="C1612" s="5">
        <v>69.5</v>
      </c>
      <c r="D1612" s="6">
        <v>67.5</v>
      </c>
      <c r="E1612" s="7">
        <f t="shared" si="25"/>
        <v>137</v>
      </c>
      <c r="F1612" s="8"/>
    </row>
    <row r="1613" spans="1:6" ht="18" customHeight="1">
      <c r="A1613" s="4" t="s">
        <v>41</v>
      </c>
      <c r="B1613" s="4" t="str">
        <f>"2020030523"</f>
        <v>2020030523</v>
      </c>
      <c r="C1613" s="5">
        <v>68.5</v>
      </c>
      <c r="D1613" s="6">
        <v>67.5</v>
      </c>
      <c r="E1613" s="7">
        <f t="shared" si="25"/>
        <v>136</v>
      </c>
      <c r="F1613" s="8"/>
    </row>
    <row r="1614" spans="1:6" ht="18" customHeight="1">
      <c r="A1614" s="4" t="s">
        <v>41</v>
      </c>
      <c r="B1614" s="4" t="str">
        <f>"2020031303"</f>
        <v>2020031303</v>
      </c>
      <c r="C1614" s="5">
        <v>69.3</v>
      </c>
      <c r="D1614" s="6">
        <v>66.5</v>
      </c>
      <c r="E1614" s="7">
        <f t="shared" si="25"/>
        <v>135.80000000000001</v>
      </c>
      <c r="F1614" s="8"/>
    </row>
    <row r="1615" spans="1:6" ht="18" customHeight="1">
      <c r="A1615" s="4" t="s">
        <v>41</v>
      </c>
      <c r="B1615" s="4" t="str">
        <f>"2020013201"</f>
        <v>2020013201</v>
      </c>
      <c r="C1615" s="5">
        <v>70.7</v>
      </c>
      <c r="D1615" s="6">
        <v>61.5</v>
      </c>
      <c r="E1615" s="7">
        <f t="shared" si="25"/>
        <v>132.19999999999999</v>
      </c>
      <c r="F1615" s="8"/>
    </row>
    <row r="1616" spans="1:6" ht="18" customHeight="1">
      <c r="A1616" s="4" t="s">
        <v>41</v>
      </c>
      <c r="B1616" s="4" t="str">
        <f>"2020023525"</f>
        <v>2020023525</v>
      </c>
      <c r="C1616" s="5">
        <v>63.1</v>
      </c>
      <c r="D1616" s="6">
        <v>69</v>
      </c>
      <c r="E1616" s="7">
        <f t="shared" si="25"/>
        <v>132.1</v>
      </c>
      <c r="F1616" s="8"/>
    </row>
    <row r="1617" spans="1:6" ht="18" customHeight="1">
      <c r="A1617" s="4" t="s">
        <v>41</v>
      </c>
      <c r="B1617" s="4" t="str">
        <f>"2020023703"</f>
        <v>2020023703</v>
      </c>
      <c r="C1617" s="5">
        <v>67.900000000000006</v>
      </c>
      <c r="D1617" s="6">
        <v>62</v>
      </c>
      <c r="E1617" s="7">
        <f t="shared" si="25"/>
        <v>129.9</v>
      </c>
      <c r="F1617" s="8"/>
    </row>
    <row r="1618" spans="1:6" ht="18" customHeight="1">
      <c r="A1618" s="4" t="s">
        <v>41</v>
      </c>
      <c r="B1618" s="4" t="str">
        <f>"2020041324"</f>
        <v>2020041324</v>
      </c>
      <c r="C1618" s="5">
        <v>60.5</v>
      </c>
      <c r="D1618" s="6">
        <v>68.5</v>
      </c>
      <c r="E1618" s="7">
        <f t="shared" si="25"/>
        <v>129</v>
      </c>
      <c r="F1618" s="8"/>
    </row>
    <row r="1619" spans="1:6" ht="18" customHeight="1">
      <c r="A1619" s="4" t="s">
        <v>41</v>
      </c>
      <c r="B1619" s="4" t="str">
        <f>"2020030808"</f>
        <v>2020030808</v>
      </c>
      <c r="C1619" s="5">
        <v>71.5</v>
      </c>
      <c r="D1619" s="6">
        <v>56</v>
      </c>
      <c r="E1619" s="7">
        <f t="shared" si="25"/>
        <v>127.5</v>
      </c>
      <c r="F1619" s="8"/>
    </row>
    <row r="1620" spans="1:6" ht="18" customHeight="1">
      <c r="A1620" s="4" t="s">
        <v>41</v>
      </c>
      <c r="B1620" s="4" t="str">
        <f>"2020043522"</f>
        <v>2020043522</v>
      </c>
      <c r="C1620" s="5">
        <v>67.3</v>
      </c>
      <c r="D1620" s="6">
        <v>59.5</v>
      </c>
      <c r="E1620" s="7">
        <f t="shared" si="25"/>
        <v>126.8</v>
      </c>
      <c r="F1620" s="8"/>
    </row>
    <row r="1621" spans="1:6" ht="18" customHeight="1">
      <c r="A1621" s="4" t="s">
        <v>41</v>
      </c>
      <c r="B1621" s="4" t="str">
        <f>"2020045421"</f>
        <v>2020045421</v>
      </c>
      <c r="C1621" s="5">
        <v>63.3</v>
      </c>
      <c r="D1621" s="6">
        <v>62</v>
      </c>
      <c r="E1621" s="7">
        <f t="shared" si="25"/>
        <v>125.3</v>
      </c>
      <c r="F1621" s="8"/>
    </row>
    <row r="1622" spans="1:6" ht="18" customHeight="1">
      <c r="A1622" s="4" t="s">
        <v>41</v>
      </c>
      <c r="B1622" s="4" t="str">
        <f>"2020043629"</f>
        <v>2020043629</v>
      </c>
      <c r="C1622" s="5">
        <v>70.3</v>
      </c>
      <c r="D1622" s="6">
        <v>54.5</v>
      </c>
      <c r="E1622" s="7">
        <f t="shared" si="25"/>
        <v>124.8</v>
      </c>
      <c r="F1622" s="9" t="s">
        <v>13</v>
      </c>
    </row>
    <row r="1623" spans="1:6" ht="18" customHeight="1">
      <c r="A1623" s="4" t="s">
        <v>41</v>
      </c>
      <c r="B1623" s="4" t="str">
        <f>"2020021006"</f>
        <v>2020021006</v>
      </c>
      <c r="C1623" s="5">
        <v>64</v>
      </c>
      <c r="D1623" s="6">
        <v>57.5</v>
      </c>
      <c r="E1623" s="7">
        <f t="shared" si="25"/>
        <v>121.5</v>
      </c>
      <c r="F1623" s="8"/>
    </row>
    <row r="1624" spans="1:6" ht="18" customHeight="1">
      <c r="A1624" s="4" t="s">
        <v>41</v>
      </c>
      <c r="B1624" s="4" t="str">
        <f>"2020023928"</f>
        <v>2020023928</v>
      </c>
      <c r="C1624" s="5">
        <v>58.5</v>
      </c>
      <c r="D1624" s="6">
        <v>58.5</v>
      </c>
      <c r="E1624" s="7">
        <f t="shared" si="25"/>
        <v>117</v>
      </c>
      <c r="F1624" s="8"/>
    </row>
    <row r="1625" spans="1:6" ht="18" customHeight="1">
      <c r="A1625" s="4" t="s">
        <v>41</v>
      </c>
      <c r="B1625" s="4" t="str">
        <f>"2020044816"</f>
        <v>2020044816</v>
      </c>
      <c r="C1625" s="5">
        <v>56.2</v>
      </c>
      <c r="D1625" s="6">
        <v>56</v>
      </c>
      <c r="E1625" s="7">
        <f t="shared" si="25"/>
        <v>112.2</v>
      </c>
      <c r="F1625" s="8"/>
    </row>
    <row r="1626" spans="1:6" ht="18" customHeight="1">
      <c r="A1626" s="4" t="s">
        <v>41</v>
      </c>
      <c r="B1626" s="4" t="str">
        <f>"2020010118"</f>
        <v>2020010118</v>
      </c>
      <c r="C1626" s="5">
        <v>0</v>
      </c>
      <c r="D1626" s="6">
        <v>0</v>
      </c>
      <c r="E1626" s="7">
        <f t="shared" si="25"/>
        <v>0</v>
      </c>
      <c r="F1626" s="9" t="s">
        <v>8</v>
      </c>
    </row>
    <row r="1627" spans="1:6" ht="18" customHeight="1">
      <c r="A1627" s="4" t="s">
        <v>41</v>
      </c>
      <c r="B1627" s="4" t="str">
        <f>"2020012107"</f>
        <v>2020012107</v>
      </c>
      <c r="C1627" s="5">
        <v>0</v>
      </c>
      <c r="D1627" s="6">
        <v>0</v>
      </c>
      <c r="E1627" s="7">
        <f t="shared" si="25"/>
        <v>0</v>
      </c>
      <c r="F1627" s="9" t="s">
        <v>8</v>
      </c>
    </row>
    <row r="1628" spans="1:6" ht="18" customHeight="1">
      <c r="A1628" s="4" t="s">
        <v>41</v>
      </c>
      <c r="B1628" s="4" t="str">
        <f>"2020012329"</f>
        <v>2020012329</v>
      </c>
      <c r="C1628" s="5">
        <v>0</v>
      </c>
      <c r="D1628" s="6">
        <v>0</v>
      </c>
      <c r="E1628" s="7">
        <f t="shared" si="25"/>
        <v>0</v>
      </c>
      <c r="F1628" s="9" t="s">
        <v>8</v>
      </c>
    </row>
    <row r="1629" spans="1:6" ht="18" customHeight="1">
      <c r="A1629" s="4" t="s">
        <v>41</v>
      </c>
      <c r="B1629" s="4" t="str">
        <f>"2020013101"</f>
        <v>2020013101</v>
      </c>
      <c r="C1629" s="5">
        <v>0</v>
      </c>
      <c r="D1629" s="6">
        <v>0</v>
      </c>
      <c r="E1629" s="7">
        <f t="shared" si="25"/>
        <v>0</v>
      </c>
      <c r="F1629" s="9" t="s">
        <v>8</v>
      </c>
    </row>
    <row r="1630" spans="1:6" ht="18" customHeight="1">
      <c r="A1630" s="4" t="s">
        <v>41</v>
      </c>
      <c r="B1630" s="4" t="str">
        <f>"2020020221"</f>
        <v>2020020221</v>
      </c>
      <c r="C1630" s="5">
        <v>0</v>
      </c>
      <c r="D1630" s="6">
        <v>0</v>
      </c>
      <c r="E1630" s="7">
        <f t="shared" si="25"/>
        <v>0</v>
      </c>
      <c r="F1630" s="8" t="s">
        <v>8</v>
      </c>
    </row>
    <row r="1631" spans="1:6" ht="18" customHeight="1">
      <c r="A1631" s="4" t="s">
        <v>41</v>
      </c>
      <c r="B1631" s="4" t="str">
        <f>"2020020928"</f>
        <v>2020020928</v>
      </c>
      <c r="C1631" s="5">
        <v>0</v>
      </c>
      <c r="D1631" s="6">
        <v>0</v>
      </c>
      <c r="E1631" s="7">
        <f t="shared" si="25"/>
        <v>0</v>
      </c>
      <c r="F1631" s="8" t="s">
        <v>8</v>
      </c>
    </row>
    <row r="1632" spans="1:6" ht="18" customHeight="1">
      <c r="A1632" s="4" t="s">
        <v>41</v>
      </c>
      <c r="B1632" s="4" t="str">
        <f>"2020021605"</f>
        <v>2020021605</v>
      </c>
      <c r="C1632" s="5">
        <v>0</v>
      </c>
      <c r="D1632" s="6">
        <v>0</v>
      </c>
      <c r="E1632" s="7">
        <f t="shared" si="25"/>
        <v>0</v>
      </c>
      <c r="F1632" s="8" t="s">
        <v>8</v>
      </c>
    </row>
    <row r="1633" spans="1:6" ht="18" customHeight="1">
      <c r="A1633" s="4" t="s">
        <v>41</v>
      </c>
      <c r="B1633" s="4" t="str">
        <f>"2020022020"</f>
        <v>2020022020</v>
      </c>
      <c r="C1633" s="5">
        <v>0</v>
      </c>
      <c r="D1633" s="6">
        <v>0</v>
      </c>
      <c r="E1633" s="7">
        <f t="shared" si="25"/>
        <v>0</v>
      </c>
      <c r="F1633" s="8" t="s">
        <v>8</v>
      </c>
    </row>
    <row r="1634" spans="1:6" ht="18" customHeight="1">
      <c r="A1634" s="4" t="s">
        <v>41</v>
      </c>
      <c r="B1634" s="4" t="str">
        <f>"2020022707"</f>
        <v>2020022707</v>
      </c>
      <c r="C1634" s="5">
        <v>0</v>
      </c>
      <c r="D1634" s="6">
        <v>0</v>
      </c>
      <c r="E1634" s="7">
        <f t="shared" si="25"/>
        <v>0</v>
      </c>
      <c r="F1634" s="8" t="s">
        <v>8</v>
      </c>
    </row>
    <row r="1635" spans="1:6" ht="18" customHeight="1">
      <c r="A1635" s="4" t="s">
        <v>41</v>
      </c>
      <c r="B1635" s="4" t="str">
        <f>"2020023603"</f>
        <v>2020023603</v>
      </c>
      <c r="C1635" s="5">
        <v>0</v>
      </c>
      <c r="D1635" s="6">
        <v>0</v>
      </c>
      <c r="E1635" s="7">
        <f t="shared" si="25"/>
        <v>0</v>
      </c>
      <c r="F1635" s="8" t="s">
        <v>8</v>
      </c>
    </row>
    <row r="1636" spans="1:6" ht="18" customHeight="1">
      <c r="A1636" s="4" t="s">
        <v>41</v>
      </c>
      <c r="B1636" s="4" t="str">
        <f>"2020023907"</f>
        <v>2020023907</v>
      </c>
      <c r="C1636" s="5">
        <v>0</v>
      </c>
      <c r="D1636" s="6">
        <v>0</v>
      </c>
      <c r="E1636" s="7">
        <f t="shared" si="25"/>
        <v>0</v>
      </c>
      <c r="F1636" s="8" t="s">
        <v>8</v>
      </c>
    </row>
    <row r="1637" spans="1:6" ht="18" customHeight="1">
      <c r="A1637" s="4" t="s">
        <v>41</v>
      </c>
      <c r="B1637" s="4" t="str">
        <f>"2020030914"</f>
        <v>2020030914</v>
      </c>
      <c r="C1637" s="5">
        <v>0</v>
      </c>
      <c r="D1637" s="6">
        <v>0</v>
      </c>
      <c r="E1637" s="7">
        <f t="shared" si="25"/>
        <v>0</v>
      </c>
      <c r="F1637" s="8" t="s">
        <v>8</v>
      </c>
    </row>
    <row r="1638" spans="1:6" ht="18" customHeight="1">
      <c r="A1638" s="4" t="s">
        <v>41</v>
      </c>
      <c r="B1638" s="4" t="str">
        <f>"2020040907"</f>
        <v>2020040907</v>
      </c>
      <c r="C1638" s="5">
        <v>0</v>
      </c>
      <c r="D1638" s="6">
        <v>0</v>
      </c>
      <c r="E1638" s="7">
        <f t="shared" si="25"/>
        <v>0</v>
      </c>
      <c r="F1638" s="8" t="s">
        <v>8</v>
      </c>
    </row>
    <row r="1639" spans="1:6" ht="18" customHeight="1">
      <c r="A1639" s="4" t="s">
        <v>41</v>
      </c>
      <c r="B1639" s="4" t="str">
        <f>"2020041430"</f>
        <v>2020041430</v>
      </c>
      <c r="C1639" s="5">
        <v>0</v>
      </c>
      <c r="D1639" s="6">
        <v>0</v>
      </c>
      <c r="E1639" s="7">
        <f t="shared" si="25"/>
        <v>0</v>
      </c>
      <c r="F1639" s="8" t="s">
        <v>8</v>
      </c>
    </row>
    <row r="1640" spans="1:6" ht="18" customHeight="1">
      <c r="A1640" s="4" t="s">
        <v>41</v>
      </c>
      <c r="B1640" s="4" t="str">
        <f>"2020041625"</f>
        <v>2020041625</v>
      </c>
      <c r="C1640" s="5">
        <v>0</v>
      </c>
      <c r="D1640" s="6">
        <v>0</v>
      </c>
      <c r="E1640" s="7">
        <f t="shared" si="25"/>
        <v>0</v>
      </c>
      <c r="F1640" s="8" t="s">
        <v>8</v>
      </c>
    </row>
    <row r="1641" spans="1:6" ht="18" customHeight="1">
      <c r="A1641" s="4" t="s">
        <v>41</v>
      </c>
      <c r="B1641" s="4" t="str">
        <f>"2020042119"</f>
        <v>2020042119</v>
      </c>
      <c r="C1641" s="5">
        <v>0</v>
      </c>
      <c r="D1641" s="6">
        <v>0</v>
      </c>
      <c r="E1641" s="7">
        <f t="shared" si="25"/>
        <v>0</v>
      </c>
      <c r="F1641" s="8" t="s">
        <v>8</v>
      </c>
    </row>
    <row r="1642" spans="1:6" ht="18" customHeight="1">
      <c r="A1642" s="4" t="s">
        <v>41</v>
      </c>
      <c r="B1642" s="4" t="str">
        <f>"2020043221"</f>
        <v>2020043221</v>
      </c>
      <c r="C1642" s="5">
        <v>0</v>
      </c>
      <c r="D1642" s="6">
        <v>0</v>
      </c>
      <c r="E1642" s="7">
        <f t="shared" si="25"/>
        <v>0</v>
      </c>
      <c r="F1642" s="8" t="s">
        <v>8</v>
      </c>
    </row>
    <row r="1643" spans="1:6" ht="18" customHeight="1">
      <c r="A1643" s="4" t="s">
        <v>41</v>
      </c>
      <c r="B1643" s="4" t="str">
        <f>"2020044517"</f>
        <v>2020044517</v>
      </c>
      <c r="C1643" s="5">
        <v>0</v>
      </c>
      <c r="D1643" s="6">
        <v>0</v>
      </c>
      <c r="E1643" s="7">
        <f t="shared" si="25"/>
        <v>0</v>
      </c>
      <c r="F1643" s="8" t="s">
        <v>8</v>
      </c>
    </row>
    <row r="1644" spans="1:6" ht="18" customHeight="1">
      <c r="A1644" s="4" t="s">
        <v>41</v>
      </c>
      <c r="B1644" s="4" t="str">
        <f>"2020046911"</f>
        <v>2020046911</v>
      </c>
      <c r="C1644" s="5">
        <v>0</v>
      </c>
      <c r="D1644" s="6">
        <v>0</v>
      </c>
      <c r="E1644" s="7">
        <f t="shared" si="25"/>
        <v>0</v>
      </c>
      <c r="F1644" s="8" t="s">
        <v>8</v>
      </c>
    </row>
    <row r="1645" spans="1:6" ht="18" customHeight="1">
      <c r="A1645" s="4" t="s">
        <v>41</v>
      </c>
      <c r="B1645" s="4" t="str">
        <f>"2020047402"</f>
        <v>2020047402</v>
      </c>
      <c r="C1645" s="5">
        <v>0</v>
      </c>
      <c r="D1645" s="6">
        <v>0</v>
      </c>
      <c r="E1645" s="7">
        <f t="shared" si="25"/>
        <v>0</v>
      </c>
      <c r="F1645" s="8" t="s">
        <v>8</v>
      </c>
    </row>
    <row r="1646" spans="1:6" ht="18" customHeight="1">
      <c r="A1646" s="4" t="s">
        <v>42</v>
      </c>
      <c r="B1646" s="4" t="str">
        <f>"2020031126"</f>
        <v>2020031126</v>
      </c>
      <c r="C1646" s="5">
        <v>74.5</v>
      </c>
      <c r="D1646" s="6">
        <v>81</v>
      </c>
      <c r="E1646" s="7">
        <f t="shared" si="25"/>
        <v>155.5</v>
      </c>
      <c r="F1646" s="8"/>
    </row>
    <row r="1647" spans="1:6" ht="18" customHeight="1">
      <c r="A1647" s="4" t="s">
        <v>42</v>
      </c>
      <c r="B1647" s="4" t="str">
        <f>"2020045524"</f>
        <v>2020045524</v>
      </c>
      <c r="C1647" s="5">
        <v>77.099999999999994</v>
      </c>
      <c r="D1647" s="6">
        <v>75</v>
      </c>
      <c r="E1647" s="7">
        <f t="shared" si="25"/>
        <v>152.1</v>
      </c>
      <c r="F1647" s="8"/>
    </row>
    <row r="1648" spans="1:6" ht="18" customHeight="1">
      <c r="A1648" s="4" t="s">
        <v>42</v>
      </c>
      <c r="B1648" s="4" t="str">
        <f>"2020045703"</f>
        <v>2020045703</v>
      </c>
      <c r="C1648" s="5">
        <v>73.8</v>
      </c>
      <c r="D1648" s="6">
        <v>77.5</v>
      </c>
      <c r="E1648" s="7">
        <f t="shared" si="25"/>
        <v>151.30000000000001</v>
      </c>
      <c r="F1648" s="8"/>
    </row>
    <row r="1649" spans="1:6" ht="18" customHeight="1">
      <c r="A1649" s="4" t="s">
        <v>42</v>
      </c>
      <c r="B1649" s="4" t="str">
        <f>"2020011529"</f>
        <v>2020011529</v>
      </c>
      <c r="C1649" s="5">
        <v>71.099999999999994</v>
      </c>
      <c r="D1649" s="6">
        <v>79</v>
      </c>
      <c r="E1649" s="7">
        <f t="shared" si="25"/>
        <v>150.1</v>
      </c>
      <c r="F1649" s="8"/>
    </row>
    <row r="1650" spans="1:6" ht="18" customHeight="1">
      <c r="A1650" s="4" t="s">
        <v>42</v>
      </c>
      <c r="B1650" s="4" t="str">
        <f>"2020033508"</f>
        <v>2020033508</v>
      </c>
      <c r="C1650" s="5">
        <v>72.099999999999994</v>
      </c>
      <c r="D1650" s="6">
        <v>77</v>
      </c>
      <c r="E1650" s="7">
        <f t="shared" si="25"/>
        <v>149.1</v>
      </c>
      <c r="F1650" s="8"/>
    </row>
    <row r="1651" spans="1:6" ht="18" customHeight="1">
      <c r="A1651" s="4" t="s">
        <v>42</v>
      </c>
      <c r="B1651" s="4" t="str">
        <f>"2020022109"</f>
        <v>2020022109</v>
      </c>
      <c r="C1651" s="5">
        <v>76.5</v>
      </c>
      <c r="D1651" s="6">
        <v>71</v>
      </c>
      <c r="E1651" s="7">
        <f t="shared" si="25"/>
        <v>147.5</v>
      </c>
      <c r="F1651" s="8"/>
    </row>
    <row r="1652" spans="1:6" ht="18" customHeight="1">
      <c r="A1652" s="4" t="s">
        <v>42</v>
      </c>
      <c r="B1652" s="4" t="str">
        <f>"2020010217"</f>
        <v>2020010217</v>
      </c>
      <c r="C1652" s="5">
        <v>71.8</v>
      </c>
      <c r="D1652" s="6">
        <v>72.5</v>
      </c>
      <c r="E1652" s="7">
        <f t="shared" si="25"/>
        <v>144.30000000000001</v>
      </c>
      <c r="F1652" s="8"/>
    </row>
    <row r="1653" spans="1:6" ht="18" customHeight="1">
      <c r="A1653" s="4" t="s">
        <v>42</v>
      </c>
      <c r="B1653" s="4" t="str">
        <f>"2020031911"</f>
        <v>2020031911</v>
      </c>
      <c r="C1653" s="5">
        <v>80.5</v>
      </c>
      <c r="D1653" s="6">
        <v>62</v>
      </c>
      <c r="E1653" s="7">
        <f t="shared" si="25"/>
        <v>142.5</v>
      </c>
      <c r="F1653" s="8"/>
    </row>
    <row r="1654" spans="1:6" ht="18" customHeight="1">
      <c r="A1654" s="4" t="s">
        <v>42</v>
      </c>
      <c r="B1654" s="4" t="str">
        <f>"2020012619"</f>
        <v>2020012619</v>
      </c>
      <c r="C1654" s="5">
        <v>73.099999999999994</v>
      </c>
      <c r="D1654" s="6">
        <v>66</v>
      </c>
      <c r="E1654" s="7">
        <f t="shared" si="25"/>
        <v>139.1</v>
      </c>
      <c r="F1654" s="8"/>
    </row>
    <row r="1655" spans="1:6" ht="18" customHeight="1">
      <c r="A1655" s="4" t="s">
        <v>42</v>
      </c>
      <c r="B1655" s="4" t="str">
        <f>"2020047516"</f>
        <v>2020047516</v>
      </c>
      <c r="C1655" s="5">
        <v>73.7</v>
      </c>
      <c r="D1655" s="6">
        <v>65</v>
      </c>
      <c r="E1655" s="7">
        <f t="shared" si="25"/>
        <v>138.69999999999999</v>
      </c>
      <c r="F1655" s="8"/>
    </row>
    <row r="1656" spans="1:6" ht="18" customHeight="1">
      <c r="A1656" s="4" t="s">
        <v>42</v>
      </c>
      <c r="B1656" s="4" t="str">
        <f>"2020042021"</f>
        <v>2020042021</v>
      </c>
      <c r="C1656" s="5">
        <v>68.900000000000006</v>
      </c>
      <c r="D1656" s="6">
        <v>69.5</v>
      </c>
      <c r="E1656" s="7">
        <f t="shared" si="25"/>
        <v>138.4</v>
      </c>
      <c r="F1656" s="8"/>
    </row>
    <row r="1657" spans="1:6" ht="18" customHeight="1">
      <c r="A1657" s="4" t="s">
        <v>42</v>
      </c>
      <c r="B1657" s="4" t="str">
        <f>"2020010505"</f>
        <v>2020010505</v>
      </c>
      <c r="C1657" s="5">
        <v>59.2</v>
      </c>
      <c r="D1657" s="6">
        <v>79</v>
      </c>
      <c r="E1657" s="7">
        <f t="shared" si="25"/>
        <v>138.19999999999999</v>
      </c>
      <c r="F1657" s="8"/>
    </row>
    <row r="1658" spans="1:6" ht="18" customHeight="1">
      <c r="A1658" s="4" t="s">
        <v>42</v>
      </c>
      <c r="B1658" s="4" t="str">
        <f>"2020043024"</f>
        <v>2020043024</v>
      </c>
      <c r="C1658" s="5">
        <v>70</v>
      </c>
      <c r="D1658" s="6">
        <v>68</v>
      </c>
      <c r="E1658" s="7">
        <f t="shared" si="25"/>
        <v>138</v>
      </c>
      <c r="F1658" s="8"/>
    </row>
    <row r="1659" spans="1:6" ht="18" customHeight="1">
      <c r="A1659" s="4" t="s">
        <v>42</v>
      </c>
      <c r="B1659" s="4" t="str">
        <f>"2020021119"</f>
        <v>2020021119</v>
      </c>
      <c r="C1659" s="5">
        <v>67.2</v>
      </c>
      <c r="D1659" s="6">
        <v>70.5</v>
      </c>
      <c r="E1659" s="7">
        <f t="shared" si="25"/>
        <v>137.69999999999999</v>
      </c>
      <c r="F1659" s="8"/>
    </row>
    <row r="1660" spans="1:6" ht="18" customHeight="1">
      <c r="A1660" s="4" t="s">
        <v>42</v>
      </c>
      <c r="B1660" s="4" t="str">
        <f>"2020040824"</f>
        <v>2020040824</v>
      </c>
      <c r="C1660" s="5">
        <v>68.900000000000006</v>
      </c>
      <c r="D1660" s="6">
        <v>65.5</v>
      </c>
      <c r="E1660" s="7">
        <f t="shared" si="25"/>
        <v>134.4</v>
      </c>
      <c r="F1660" s="8"/>
    </row>
    <row r="1661" spans="1:6" ht="18" customHeight="1">
      <c r="A1661" s="4" t="s">
        <v>42</v>
      </c>
      <c r="B1661" s="4" t="str">
        <f>"2020044126"</f>
        <v>2020044126</v>
      </c>
      <c r="C1661" s="5">
        <v>58.1</v>
      </c>
      <c r="D1661" s="6">
        <v>74</v>
      </c>
      <c r="E1661" s="7">
        <f t="shared" si="25"/>
        <v>132.1</v>
      </c>
      <c r="F1661" s="8"/>
    </row>
    <row r="1662" spans="1:6" ht="18" customHeight="1">
      <c r="A1662" s="4" t="s">
        <v>42</v>
      </c>
      <c r="B1662" s="4" t="str">
        <f>"2020021118"</f>
        <v>2020021118</v>
      </c>
      <c r="C1662" s="5">
        <v>66.2</v>
      </c>
      <c r="D1662" s="6">
        <v>65</v>
      </c>
      <c r="E1662" s="7">
        <f t="shared" si="25"/>
        <v>131.19999999999999</v>
      </c>
      <c r="F1662" s="8"/>
    </row>
    <row r="1663" spans="1:6" ht="18" customHeight="1">
      <c r="A1663" s="4" t="s">
        <v>42</v>
      </c>
      <c r="B1663" s="4" t="str">
        <f>"2020022826"</f>
        <v>2020022826</v>
      </c>
      <c r="C1663" s="5">
        <v>63.6</v>
      </c>
      <c r="D1663" s="6">
        <v>66</v>
      </c>
      <c r="E1663" s="7">
        <f t="shared" si="25"/>
        <v>129.6</v>
      </c>
      <c r="F1663" s="8"/>
    </row>
    <row r="1664" spans="1:6" ht="18" customHeight="1">
      <c r="A1664" s="4" t="s">
        <v>42</v>
      </c>
      <c r="B1664" s="4" t="str">
        <f>"2020046427"</f>
        <v>2020046427</v>
      </c>
      <c r="C1664" s="5">
        <v>68.900000000000006</v>
      </c>
      <c r="D1664" s="6">
        <v>57</v>
      </c>
      <c r="E1664" s="7">
        <f t="shared" si="25"/>
        <v>125.9</v>
      </c>
      <c r="F1664" s="8"/>
    </row>
    <row r="1665" spans="1:6" ht="18" customHeight="1">
      <c r="A1665" s="4" t="s">
        <v>42</v>
      </c>
      <c r="B1665" s="4" t="str">
        <f>"2020041521"</f>
        <v>2020041521</v>
      </c>
      <c r="C1665" s="5">
        <v>58.8</v>
      </c>
      <c r="D1665" s="6">
        <v>53</v>
      </c>
      <c r="E1665" s="7">
        <f t="shared" si="25"/>
        <v>111.8</v>
      </c>
      <c r="F1665" s="8"/>
    </row>
    <row r="1666" spans="1:6" ht="18" customHeight="1">
      <c r="A1666" s="4" t="s">
        <v>42</v>
      </c>
      <c r="B1666" s="4" t="str">
        <f>"2020011411"</f>
        <v>2020011411</v>
      </c>
      <c r="C1666" s="5">
        <v>0</v>
      </c>
      <c r="D1666" s="6">
        <v>0</v>
      </c>
      <c r="E1666" s="7">
        <f t="shared" si="25"/>
        <v>0</v>
      </c>
      <c r="F1666" s="9" t="s">
        <v>8</v>
      </c>
    </row>
    <row r="1667" spans="1:6" ht="18" customHeight="1">
      <c r="A1667" s="4" t="s">
        <v>43</v>
      </c>
      <c r="B1667" s="4" t="str">
        <f>"2020033316"</f>
        <v>2020033316</v>
      </c>
      <c r="C1667" s="5">
        <v>75.2</v>
      </c>
      <c r="D1667" s="6">
        <v>77.5</v>
      </c>
      <c r="E1667" s="7">
        <f t="shared" ref="E1667:E1730" si="26">SUM(C1667:D1667)</f>
        <v>152.69999999999999</v>
      </c>
      <c r="F1667" s="8"/>
    </row>
    <row r="1668" spans="1:6" ht="18" customHeight="1">
      <c r="A1668" s="4" t="s">
        <v>43</v>
      </c>
      <c r="B1668" s="4" t="str">
        <f>"2020032001"</f>
        <v>2020032001</v>
      </c>
      <c r="C1668" s="5">
        <v>68.7</v>
      </c>
      <c r="D1668" s="6">
        <v>76.5</v>
      </c>
      <c r="E1668" s="7">
        <f t="shared" si="26"/>
        <v>145.19999999999999</v>
      </c>
      <c r="F1668" s="8"/>
    </row>
    <row r="1669" spans="1:6" ht="18" customHeight="1">
      <c r="A1669" s="4" t="s">
        <v>43</v>
      </c>
      <c r="B1669" s="4" t="str">
        <f>"2020032508"</f>
        <v>2020032508</v>
      </c>
      <c r="C1669" s="5">
        <v>71.900000000000006</v>
      </c>
      <c r="D1669" s="6">
        <v>70.5</v>
      </c>
      <c r="E1669" s="7">
        <f t="shared" si="26"/>
        <v>142.4</v>
      </c>
      <c r="F1669" s="8"/>
    </row>
    <row r="1670" spans="1:6" ht="18" customHeight="1">
      <c r="A1670" s="4" t="s">
        <v>43</v>
      </c>
      <c r="B1670" s="4" t="str">
        <f>"2020010106"</f>
        <v>2020010106</v>
      </c>
      <c r="C1670" s="5">
        <v>60.6</v>
      </c>
      <c r="D1670" s="6">
        <v>80</v>
      </c>
      <c r="E1670" s="7">
        <f t="shared" si="26"/>
        <v>140.6</v>
      </c>
      <c r="F1670" s="8"/>
    </row>
    <row r="1671" spans="1:6" ht="18" customHeight="1">
      <c r="A1671" s="4" t="s">
        <v>43</v>
      </c>
      <c r="B1671" s="4" t="str">
        <f>"2020033811"</f>
        <v>2020033811</v>
      </c>
      <c r="C1671" s="5">
        <v>79.900000000000006</v>
      </c>
      <c r="D1671" s="6">
        <v>59.5</v>
      </c>
      <c r="E1671" s="7">
        <f t="shared" si="26"/>
        <v>139.4</v>
      </c>
      <c r="F1671" s="8"/>
    </row>
    <row r="1672" spans="1:6" ht="18" customHeight="1">
      <c r="A1672" s="4" t="s">
        <v>43</v>
      </c>
      <c r="B1672" s="4" t="str">
        <f>"2020046725"</f>
        <v>2020046725</v>
      </c>
      <c r="C1672" s="5">
        <v>72.900000000000006</v>
      </c>
      <c r="D1672" s="6">
        <v>66.5</v>
      </c>
      <c r="E1672" s="7">
        <f t="shared" si="26"/>
        <v>139.4</v>
      </c>
      <c r="F1672" s="8"/>
    </row>
    <row r="1673" spans="1:6" ht="18" customHeight="1">
      <c r="A1673" s="4" t="s">
        <v>43</v>
      </c>
      <c r="B1673" s="4" t="str">
        <f>"2020024811"</f>
        <v>2020024811</v>
      </c>
      <c r="C1673" s="5">
        <v>66.099999999999994</v>
      </c>
      <c r="D1673" s="6">
        <v>72.5</v>
      </c>
      <c r="E1673" s="7">
        <f t="shared" si="26"/>
        <v>138.6</v>
      </c>
      <c r="F1673" s="8"/>
    </row>
    <row r="1674" spans="1:6" ht="18" customHeight="1">
      <c r="A1674" s="4" t="s">
        <v>43</v>
      </c>
      <c r="B1674" s="4" t="str">
        <f>"2020033812"</f>
        <v>2020033812</v>
      </c>
      <c r="C1674" s="5">
        <v>70.900000000000006</v>
      </c>
      <c r="D1674" s="6">
        <v>65</v>
      </c>
      <c r="E1674" s="7">
        <f t="shared" si="26"/>
        <v>135.9</v>
      </c>
      <c r="F1674" s="8"/>
    </row>
    <row r="1675" spans="1:6" ht="18" customHeight="1">
      <c r="A1675" s="4" t="s">
        <v>43</v>
      </c>
      <c r="B1675" s="4" t="str">
        <f>"2020046704"</f>
        <v>2020046704</v>
      </c>
      <c r="C1675" s="5">
        <v>63.5</v>
      </c>
      <c r="D1675" s="6">
        <v>69.5</v>
      </c>
      <c r="E1675" s="7">
        <f t="shared" si="26"/>
        <v>133</v>
      </c>
      <c r="F1675" s="8"/>
    </row>
    <row r="1676" spans="1:6" ht="18" customHeight="1">
      <c r="A1676" s="4" t="s">
        <v>43</v>
      </c>
      <c r="B1676" s="4" t="str">
        <f>"2020013005"</f>
        <v>2020013005</v>
      </c>
      <c r="C1676" s="5">
        <v>72.3</v>
      </c>
      <c r="D1676" s="6">
        <v>60</v>
      </c>
      <c r="E1676" s="7">
        <f t="shared" si="26"/>
        <v>132.30000000000001</v>
      </c>
      <c r="F1676" s="8"/>
    </row>
    <row r="1677" spans="1:6" ht="18" customHeight="1">
      <c r="A1677" s="4" t="s">
        <v>43</v>
      </c>
      <c r="B1677" s="4" t="str">
        <f>"2020021720"</f>
        <v>2020021720</v>
      </c>
      <c r="C1677" s="5">
        <v>67.5</v>
      </c>
      <c r="D1677" s="6">
        <v>61.5</v>
      </c>
      <c r="E1677" s="7">
        <f t="shared" si="26"/>
        <v>129</v>
      </c>
      <c r="F1677" s="8"/>
    </row>
    <row r="1678" spans="1:6" ht="18" customHeight="1">
      <c r="A1678" s="4" t="s">
        <v>43</v>
      </c>
      <c r="B1678" s="4" t="str">
        <f>"2020031814"</f>
        <v>2020031814</v>
      </c>
      <c r="C1678" s="5">
        <v>61.9</v>
      </c>
      <c r="D1678" s="6">
        <v>62.5</v>
      </c>
      <c r="E1678" s="7">
        <f t="shared" si="26"/>
        <v>124.4</v>
      </c>
      <c r="F1678" s="8"/>
    </row>
    <row r="1679" spans="1:6" ht="18" customHeight="1">
      <c r="A1679" s="4" t="s">
        <v>43</v>
      </c>
      <c r="B1679" s="4" t="str">
        <f>"2020022003"</f>
        <v>2020022003</v>
      </c>
      <c r="C1679" s="5">
        <v>0</v>
      </c>
      <c r="D1679" s="6">
        <v>0</v>
      </c>
      <c r="E1679" s="7">
        <f t="shared" si="26"/>
        <v>0</v>
      </c>
      <c r="F1679" s="8" t="s">
        <v>8</v>
      </c>
    </row>
    <row r="1680" spans="1:6" ht="18" customHeight="1">
      <c r="A1680" s="4" t="s">
        <v>43</v>
      </c>
      <c r="B1680" s="4" t="str">
        <f>"2020023923"</f>
        <v>2020023923</v>
      </c>
      <c r="C1680" s="5">
        <v>0</v>
      </c>
      <c r="D1680" s="6">
        <v>0</v>
      </c>
      <c r="E1680" s="7">
        <f t="shared" si="26"/>
        <v>0</v>
      </c>
      <c r="F1680" s="8" t="s">
        <v>8</v>
      </c>
    </row>
    <row r="1681" spans="1:6" ht="18" customHeight="1">
      <c r="A1681" s="4" t="s">
        <v>43</v>
      </c>
      <c r="B1681" s="4" t="str">
        <f>"2020032221"</f>
        <v>2020032221</v>
      </c>
      <c r="C1681" s="5">
        <v>0</v>
      </c>
      <c r="D1681" s="6">
        <v>0</v>
      </c>
      <c r="E1681" s="7">
        <f t="shared" si="26"/>
        <v>0</v>
      </c>
      <c r="F1681" s="8" t="s">
        <v>8</v>
      </c>
    </row>
    <row r="1682" spans="1:6" ht="18" customHeight="1">
      <c r="A1682" s="4" t="s">
        <v>44</v>
      </c>
      <c r="B1682" s="4" t="str">
        <f>"2020030425"</f>
        <v>2020030425</v>
      </c>
      <c r="C1682" s="5">
        <v>83.3</v>
      </c>
      <c r="D1682" s="6">
        <v>78.5</v>
      </c>
      <c r="E1682" s="7">
        <f t="shared" si="26"/>
        <v>161.80000000000001</v>
      </c>
      <c r="F1682" s="8"/>
    </row>
    <row r="1683" spans="1:6" ht="18" customHeight="1">
      <c r="A1683" s="4" t="s">
        <v>44</v>
      </c>
      <c r="B1683" s="4" t="str">
        <f>"2020032908"</f>
        <v>2020032908</v>
      </c>
      <c r="C1683" s="5">
        <v>74.900000000000006</v>
      </c>
      <c r="D1683" s="6">
        <v>85.5</v>
      </c>
      <c r="E1683" s="7">
        <f t="shared" si="26"/>
        <v>160.4</v>
      </c>
      <c r="F1683" s="8"/>
    </row>
    <row r="1684" spans="1:6" ht="18" customHeight="1">
      <c r="A1684" s="4" t="s">
        <v>44</v>
      </c>
      <c r="B1684" s="4" t="str">
        <f>"2020044316"</f>
        <v>2020044316</v>
      </c>
      <c r="C1684" s="5">
        <v>74.5</v>
      </c>
      <c r="D1684" s="6">
        <v>84</v>
      </c>
      <c r="E1684" s="7">
        <f t="shared" si="26"/>
        <v>158.5</v>
      </c>
      <c r="F1684" s="8"/>
    </row>
    <row r="1685" spans="1:6" ht="18" customHeight="1">
      <c r="A1685" s="4" t="s">
        <v>44</v>
      </c>
      <c r="B1685" s="4" t="str">
        <f>"2020033925"</f>
        <v>2020033925</v>
      </c>
      <c r="C1685" s="5">
        <v>78.8</v>
      </c>
      <c r="D1685" s="6">
        <v>79</v>
      </c>
      <c r="E1685" s="7">
        <f t="shared" si="26"/>
        <v>157.80000000000001</v>
      </c>
      <c r="F1685" s="8"/>
    </row>
    <row r="1686" spans="1:6" ht="18" customHeight="1">
      <c r="A1686" s="4" t="s">
        <v>44</v>
      </c>
      <c r="B1686" s="4" t="str">
        <f>"2020024201"</f>
        <v>2020024201</v>
      </c>
      <c r="C1686" s="5">
        <v>72.2</v>
      </c>
      <c r="D1686" s="6">
        <v>85.5</v>
      </c>
      <c r="E1686" s="7">
        <f t="shared" si="26"/>
        <v>157.69999999999999</v>
      </c>
      <c r="F1686" s="8"/>
    </row>
    <row r="1687" spans="1:6" ht="18" customHeight="1">
      <c r="A1687" s="4" t="s">
        <v>44</v>
      </c>
      <c r="B1687" s="4" t="str">
        <f>"2020032602"</f>
        <v>2020032602</v>
      </c>
      <c r="C1687" s="5">
        <v>74.2</v>
      </c>
      <c r="D1687" s="6">
        <v>76.5</v>
      </c>
      <c r="E1687" s="7">
        <f t="shared" si="26"/>
        <v>150.69999999999999</v>
      </c>
      <c r="F1687" s="8"/>
    </row>
    <row r="1688" spans="1:6" ht="18" customHeight="1">
      <c r="A1688" s="4" t="s">
        <v>44</v>
      </c>
      <c r="B1688" s="4" t="str">
        <f>"2020042205"</f>
        <v>2020042205</v>
      </c>
      <c r="C1688" s="5">
        <v>70.2</v>
      </c>
      <c r="D1688" s="6">
        <v>79.5</v>
      </c>
      <c r="E1688" s="7">
        <f t="shared" si="26"/>
        <v>149.69999999999999</v>
      </c>
      <c r="F1688" s="8"/>
    </row>
    <row r="1689" spans="1:6" ht="18" customHeight="1">
      <c r="A1689" s="4" t="s">
        <v>44</v>
      </c>
      <c r="B1689" s="4" t="str">
        <f>"2020023109"</f>
        <v>2020023109</v>
      </c>
      <c r="C1689" s="5">
        <v>65.900000000000006</v>
      </c>
      <c r="D1689" s="6">
        <v>81</v>
      </c>
      <c r="E1689" s="7">
        <f t="shared" si="26"/>
        <v>146.9</v>
      </c>
      <c r="F1689" s="8"/>
    </row>
    <row r="1690" spans="1:6" ht="18" customHeight="1">
      <c r="A1690" s="4" t="s">
        <v>44</v>
      </c>
      <c r="B1690" s="4" t="str">
        <f>"2020030107"</f>
        <v>2020030107</v>
      </c>
      <c r="C1690" s="5">
        <v>73.7</v>
      </c>
      <c r="D1690" s="6">
        <v>73</v>
      </c>
      <c r="E1690" s="7">
        <f t="shared" si="26"/>
        <v>146.69999999999999</v>
      </c>
      <c r="F1690" s="8"/>
    </row>
    <row r="1691" spans="1:6" ht="18" customHeight="1">
      <c r="A1691" s="4" t="s">
        <v>44</v>
      </c>
      <c r="B1691" s="4" t="str">
        <f>"2020040403"</f>
        <v>2020040403</v>
      </c>
      <c r="C1691" s="5">
        <v>74.099999999999994</v>
      </c>
      <c r="D1691" s="6">
        <v>72.5</v>
      </c>
      <c r="E1691" s="7">
        <f t="shared" si="26"/>
        <v>146.6</v>
      </c>
      <c r="F1691" s="8"/>
    </row>
    <row r="1692" spans="1:6" ht="18" customHeight="1">
      <c r="A1692" s="4" t="s">
        <v>44</v>
      </c>
      <c r="B1692" s="4" t="str">
        <f>"2020033212"</f>
        <v>2020033212</v>
      </c>
      <c r="C1692" s="5">
        <v>69.900000000000006</v>
      </c>
      <c r="D1692" s="6">
        <v>76</v>
      </c>
      <c r="E1692" s="7">
        <f t="shared" si="26"/>
        <v>145.9</v>
      </c>
      <c r="F1692" s="8"/>
    </row>
    <row r="1693" spans="1:6" ht="18" customHeight="1">
      <c r="A1693" s="4" t="s">
        <v>44</v>
      </c>
      <c r="B1693" s="4" t="str">
        <f>"2020041601"</f>
        <v>2020041601</v>
      </c>
      <c r="C1693" s="5">
        <v>70.400000000000006</v>
      </c>
      <c r="D1693" s="6">
        <v>72.5</v>
      </c>
      <c r="E1693" s="7">
        <f t="shared" si="26"/>
        <v>142.9</v>
      </c>
      <c r="F1693" s="8"/>
    </row>
    <row r="1694" spans="1:6" ht="18" customHeight="1">
      <c r="A1694" s="4" t="s">
        <v>44</v>
      </c>
      <c r="B1694" s="4" t="str">
        <f>"2020041121"</f>
        <v>2020041121</v>
      </c>
      <c r="C1694" s="5">
        <v>72.099999999999994</v>
      </c>
      <c r="D1694" s="6">
        <v>70.5</v>
      </c>
      <c r="E1694" s="7">
        <f t="shared" si="26"/>
        <v>142.6</v>
      </c>
      <c r="F1694" s="8"/>
    </row>
    <row r="1695" spans="1:6" ht="18" customHeight="1">
      <c r="A1695" s="4" t="s">
        <v>44</v>
      </c>
      <c r="B1695" s="4" t="str">
        <f>"2020013221"</f>
        <v>2020013221</v>
      </c>
      <c r="C1695" s="5">
        <v>68.3</v>
      </c>
      <c r="D1695" s="6">
        <v>74</v>
      </c>
      <c r="E1695" s="7">
        <f t="shared" si="26"/>
        <v>142.30000000000001</v>
      </c>
      <c r="F1695" s="8"/>
    </row>
    <row r="1696" spans="1:6" ht="18" customHeight="1">
      <c r="A1696" s="4" t="s">
        <v>44</v>
      </c>
      <c r="B1696" s="4" t="str">
        <f>"2020030404"</f>
        <v>2020030404</v>
      </c>
      <c r="C1696" s="5">
        <v>74.2</v>
      </c>
      <c r="D1696" s="6">
        <v>67.5</v>
      </c>
      <c r="E1696" s="7">
        <f t="shared" si="26"/>
        <v>141.69999999999999</v>
      </c>
      <c r="F1696" s="8"/>
    </row>
    <row r="1697" spans="1:6" ht="18" customHeight="1">
      <c r="A1697" s="4" t="s">
        <v>44</v>
      </c>
      <c r="B1697" s="4" t="str">
        <f>"2020042508"</f>
        <v>2020042508</v>
      </c>
      <c r="C1697" s="5">
        <v>71.599999999999994</v>
      </c>
      <c r="D1697" s="6">
        <v>69.5</v>
      </c>
      <c r="E1697" s="7">
        <f t="shared" si="26"/>
        <v>141.1</v>
      </c>
      <c r="F1697" s="8"/>
    </row>
    <row r="1698" spans="1:6" ht="18" customHeight="1">
      <c r="A1698" s="4" t="s">
        <v>44</v>
      </c>
      <c r="B1698" s="4" t="str">
        <f>"2020043001"</f>
        <v>2020043001</v>
      </c>
      <c r="C1698" s="5">
        <v>75.5</v>
      </c>
      <c r="D1698" s="6">
        <v>65</v>
      </c>
      <c r="E1698" s="7">
        <f t="shared" si="26"/>
        <v>140.5</v>
      </c>
      <c r="F1698" s="8"/>
    </row>
    <row r="1699" spans="1:6" ht="18" customHeight="1">
      <c r="A1699" s="4" t="s">
        <v>44</v>
      </c>
      <c r="B1699" s="4" t="str">
        <f>"2020046512"</f>
        <v>2020046512</v>
      </c>
      <c r="C1699" s="5">
        <v>54.9</v>
      </c>
      <c r="D1699" s="6">
        <v>85.5</v>
      </c>
      <c r="E1699" s="7">
        <f t="shared" si="26"/>
        <v>140.4</v>
      </c>
      <c r="F1699" s="8"/>
    </row>
    <row r="1700" spans="1:6" ht="18" customHeight="1">
      <c r="A1700" s="4" t="s">
        <v>44</v>
      </c>
      <c r="B1700" s="4" t="str">
        <f>"2020030429"</f>
        <v>2020030429</v>
      </c>
      <c r="C1700" s="5">
        <v>74.099999999999994</v>
      </c>
      <c r="D1700" s="6">
        <v>66</v>
      </c>
      <c r="E1700" s="7">
        <f t="shared" si="26"/>
        <v>140.1</v>
      </c>
      <c r="F1700" s="8"/>
    </row>
    <row r="1701" spans="1:6" ht="18" customHeight="1">
      <c r="A1701" s="4" t="s">
        <v>44</v>
      </c>
      <c r="B1701" s="4" t="str">
        <f>"2020045411"</f>
        <v>2020045411</v>
      </c>
      <c r="C1701" s="5">
        <v>65.5</v>
      </c>
      <c r="D1701" s="6">
        <v>74.5</v>
      </c>
      <c r="E1701" s="7">
        <f t="shared" si="26"/>
        <v>140</v>
      </c>
      <c r="F1701" s="8"/>
    </row>
    <row r="1702" spans="1:6" ht="18" customHeight="1">
      <c r="A1702" s="4" t="s">
        <v>44</v>
      </c>
      <c r="B1702" s="4" t="str">
        <f>"2020041613"</f>
        <v>2020041613</v>
      </c>
      <c r="C1702" s="5">
        <v>67.400000000000006</v>
      </c>
      <c r="D1702" s="6">
        <v>72.5</v>
      </c>
      <c r="E1702" s="7">
        <f t="shared" si="26"/>
        <v>139.9</v>
      </c>
      <c r="F1702" s="8"/>
    </row>
    <row r="1703" spans="1:6" ht="18" customHeight="1">
      <c r="A1703" s="4" t="s">
        <v>44</v>
      </c>
      <c r="B1703" s="4" t="str">
        <f>"2020040317"</f>
        <v>2020040317</v>
      </c>
      <c r="C1703" s="5">
        <v>63.7</v>
      </c>
      <c r="D1703" s="6">
        <v>76</v>
      </c>
      <c r="E1703" s="7">
        <f t="shared" si="26"/>
        <v>139.69999999999999</v>
      </c>
      <c r="F1703" s="8"/>
    </row>
    <row r="1704" spans="1:6" ht="18" customHeight="1">
      <c r="A1704" s="4" t="s">
        <v>44</v>
      </c>
      <c r="B1704" s="4" t="str">
        <f>"2020032612"</f>
        <v>2020032612</v>
      </c>
      <c r="C1704" s="5">
        <v>66.099999999999994</v>
      </c>
      <c r="D1704" s="6">
        <v>69.5</v>
      </c>
      <c r="E1704" s="7">
        <f t="shared" si="26"/>
        <v>135.6</v>
      </c>
      <c r="F1704" s="8"/>
    </row>
    <row r="1705" spans="1:6" ht="18" customHeight="1">
      <c r="A1705" s="4" t="s">
        <v>44</v>
      </c>
      <c r="B1705" s="4" t="str">
        <f>"2020033401"</f>
        <v>2020033401</v>
      </c>
      <c r="C1705" s="5">
        <v>64.3</v>
      </c>
      <c r="D1705" s="6">
        <v>70</v>
      </c>
      <c r="E1705" s="7">
        <f t="shared" si="26"/>
        <v>134.30000000000001</v>
      </c>
      <c r="F1705" s="8"/>
    </row>
    <row r="1706" spans="1:6" ht="18" customHeight="1">
      <c r="A1706" s="4" t="s">
        <v>44</v>
      </c>
      <c r="B1706" s="4" t="str">
        <f>"2020044115"</f>
        <v>2020044115</v>
      </c>
      <c r="C1706" s="5">
        <v>65.2</v>
      </c>
      <c r="D1706" s="6">
        <v>68.5</v>
      </c>
      <c r="E1706" s="7">
        <f t="shared" si="26"/>
        <v>133.69999999999999</v>
      </c>
      <c r="F1706" s="8"/>
    </row>
    <row r="1707" spans="1:6" ht="18" customHeight="1">
      <c r="A1707" s="4" t="s">
        <v>44</v>
      </c>
      <c r="B1707" s="4" t="str">
        <f>"2020046328"</f>
        <v>2020046328</v>
      </c>
      <c r="C1707" s="5">
        <v>57.1</v>
      </c>
      <c r="D1707" s="6">
        <v>76.5</v>
      </c>
      <c r="E1707" s="7">
        <f t="shared" si="26"/>
        <v>133.6</v>
      </c>
      <c r="F1707" s="8"/>
    </row>
    <row r="1708" spans="1:6" ht="18" customHeight="1">
      <c r="A1708" s="4" t="s">
        <v>44</v>
      </c>
      <c r="B1708" s="4" t="str">
        <f>"2020023104"</f>
        <v>2020023104</v>
      </c>
      <c r="C1708" s="5">
        <v>64.2</v>
      </c>
      <c r="D1708" s="6">
        <v>68.5</v>
      </c>
      <c r="E1708" s="7">
        <f t="shared" si="26"/>
        <v>132.69999999999999</v>
      </c>
      <c r="F1708" s="8"/>
    </row>
    <row r="1709" spans="1:6" ht="18" customHeight="1">
      <c r="A1709" s="4" t="s">
        <v>44</v>
      </c>
      <c r="B1709" s="4" t="str">
        <f>"2020013806"</f>
        <v>2020013806</v>
      </c>
      <c r="C1709" s="5">
        <v>65.8</v>
      </c>
      <c r="D1709" s="6">
        <v>66.5</v>
      </c>
      <c r="E1709" s="7">
        <f t="shared" si="26"/>
        <v>132.30000000000001</v>
      </c>
      <c r="F1709" s="8"/>
    </row>
    <row r="1710" spans="1:6" ht="18" customHeight="1">
      <c r="A1710" s="4" t="s">
        <v>44</v>
      </c>
      <c r="B1710" s="4" t="str">
        <f>"2020020502"</f>
        <v>2020020502</v>
      </c>
      <c r="C1710" s="5">
        <v>66.2</v>
      </c>
      <c r="D1710" s="6">
        <v>65.5</v>
      </c>
      <c r="E1710" s="7">
        <f t="shared" si="26"/>
        <v>131.69999999999999</v>
      </c>
      <c r="F1710" s="8"/>
    </row>
    <row r="1711" spans="1:6" ht="18" customHeight="1">
      <c r="A1711" s="4" t="s">
        <v>44</v>
      </c>
      <c r="B1711" s="4" t="str">
        <f>"2020022412"</f>
        <v>2020022412</v>
      </c>
      <c r="C1711" s="5">
        <v>67.5</v>
      </c>
      <c r="D1711" s="6">
        <v>63</v>
      </c>
      <c r="E1711" s="7">
        <f t="shared" si="26"/>
        <v>130.5</v>
      </c>
      <c r="F1711" s="8"/>
    </row>
    <row r="1712" spans="1:6" ht="18" customHeight="1">
      <c r="A1712" s="4" t="s">
        <v>44</v>
      </c>
      <c r="B1712" s="4" t="str">
        <f>"2020011726"</f>
        <v>2020011726</v>
      </c>
      <c r="C1712" s="5">
        <v>64.099999999999994</v>
      </c>
      <c r="D1712" s="6">
        <v>66</v>
      </c>
      <c r="E1712" s="7">
        <f t="shared" si="26"/>
        <v>130.1</v>
      </c>
      <c r="F1712" s="8"/>
    </row>
    <row r="1713" spans="1:6" ht="18" customHeight="1">
      <c r="A1713" s="4" t="s">
        <v>44</v>
      </c>
      <c r="B1713" s="4" t="str">
        <f>"2020045701"</f>
        <v>2020045701</v>
      </c>
      <c r="C1713" s="5">
        <v>67.2</v>
      </c>
      <c r="D1713" s="6">
        <v>62.5</v>
      </c>
      <c r="E1713" s="7">
        <f t="shared" si="26"/>
        <v>129.69999999999999</v>
      </c>
      <c r="F1713" s="8"/>
    </row>
    <row r="1714" spans="1:6" ht="18" customHeight="1">
      <c r="A1714" s="4" t="s">
        <v>44</v>
      </c>
      <c r="B1714" s="4" t="str">
        <f>"2020020412"</f>
        <v>2020020412</v>
      </c>
      <c r="C1714" s="5">
        <v>65.2</v>
      </c>
      <c r="D1714" s="6">
        <v>62.5</v>
      </c>
      <c r="E1714" s="7">
        <f t="shared" si="26"/>
        <v>127.7</v>
      </c>
      <c r="F1714" s="8"/>
    </row>
    <row r="1715" spans="1:6" ht="18" customHeight="1">
      <c r="A1715" s="4" t="s">
        <v>44</v>
      </c>
      <c r="B1715" s="4" t="str">
        <f>"2020021025"</f>
        <v>2020021025</v>
      </c>
      <c r="C1715" s="5">
        <v>60.7</v>
      </c>
      <c r="D1715" s="6">
        <v>67</v>
      </c>
      <c r="E1715" s="7">
        <f t="shared" si="26"/>
        <v>127.7</v>
      </c>
      <c r="F1715" s="8"/>
    </row>
    <row r="1716" spans="1:6" ht="18" customHeight="1">
      <c r="A1716" s="4" t="s">
        <v>44</v>
      </c>
      <c r="B1716" s="4" t="str">
        <f>"2020033011"</f>
        <v>2020033011</v>
      </c>
      <c r="C1716" s="5">
        <v>60.9</v>
      </c>
      <c r="D1716" s="6">
        <v>65.5</v>
      </c>
      <c r="E1716" s="7">
        <f t="shared" si="26"/>
        <v>126.4</v>
      </c>
      <c r="F1716" s="8"/>
    </row>
    <row r="1717" spans="1:6" ht="18" customHeight="1">
      <c r="A1717" s="4" t="s">
        <v>44</v>
      </c>
      <c r="B1717" s="4" t="str">
        <f>"2020040615"</f>
        <v>2020040615</v>
      </c>
      <c r="C1717" s="5">
        <v>65.7</v>
      </c>
      <c r="D1717" s="6">
        <v>58.5</v>
      </c>
      <c r="E1717" s="7">
        <f t="shared" si="26"/>
        <v>124.2</v>
      </c>
      <c r="F1717" s="8"/>
    </row>
    <row r="1718" spans="1:6" ht="18" customHeight="1">
      <c r="A1718" s="4" t="s">
        <v>44</v>
      </c>
      <c r="B1718" s="4" t="str">
        <f>"2020011024"</f>
        <v>2020011024</v>
      </c>
      <c r="C1718" s="5">
        <v>53.5</v>
      </c>
      <c r="D1718" s="6">
        <v>67.5</v>
      </c>
      <c r="E1718" s="7">
        <f t="shared" si="26"/>
        <v>121</v>
      </c>
      <c r="F1718" s="8"/>
    </row>
    <row r="1719" spans="1:6" ht="18" customHeight="1">
      <c r="A1719" s="4" t="s">
        <v>44</v>
      </c>
      <c r="B1719" s="4" t="str">
        <f>"2020022326"</f>
        <v>2020022326</v>
      </c>
      <c r="C1719" s="5">
        <v>60.6</v>
      </c>
      <c r="D1719" s="6">
        <v>54</v>
      </c>
      <c r="E1719" s="7">
        <f t="shared" si="26"/>
        <v>114.6</v>
      </c>
      <c r="F1719" s="8"/>
    </row>
    <row r="1720" spans="1:6" ht="18" customHeight="1">
      <c r="A1720" s="4" t="s">
        <v>44</v>
      </c>
      <c r="B1720" s="4" t="str">
        <f>"2020021220"</f>
        <v>2020021220</v>
      </c>
      <c r="C1720" s="5">
        <v>56.4</v>
      </c>
      <c r="D1720" s="6">
        <v>55.5</v>
      </c>
      <c r="E1720" s="7">
        <f t="shared" si="26"/>
        <v>111.9</v>
      </c>
      <c r="F1720" s="8"/>
    </row>
    <row r="1721" spans="1:6" ht="18" customHeight="1">
      <c r="A1721" s="4" t="s">
        <v>44</v>
      </c>
      <c r="B1721" s="4" t="str">
        <f>"2020020914"</f>
        <v>2020020914</v>
      </c>
      <c r="C1721" s="5">
        <v>0</v>
      </c>
      <c r="D1721" s="6">
        <v>0</v>
      </c>
      <c r="E1721" s="7">
        <f t="shared" si="26"/>
        <v>0</v>
      </c>
      <c r="F1721" s="8" t="s">
        <v>8</v>
      </c>
    </row>
    <row r="1722" spans="1:6" ht="18" customHeight="1">
      <c r="A1722" s="4" t="s">
        <v>44</v>
      </c>
      <c r="B1722" s="4" t="str">
        <f>"2020022613"</f>
        <v>2020022613</v>
      </c>
      <c r="C1722" s="5">
        <v>0</v>
      </c>
      <c r="D1722" s="6">
        <v>0</v>
      </c>
      <c r="E1722" s="7">
        <f t="shared" si="26"/>
        <v>0</v>
      </c>
      <c r="F1722" s="8" t="s">
        <v>8</v>
      </c>
    </row>
    <row r="1723" spans="1:6" ht="18" customHeight="1">
      <c r="A1723" s="4" t="s">
        <v>44</v>
      </c>
      <c r="B1723" s="4" t="str">
        <f>"2020033801"</f>
        <v>2020033801</v>
      </c>
      <c r="C1723" s="5">
        <v>0</v>
      </c>
      <c r="D1723" s="6">
        <v>0</v>
      </c>
      <c r="E1723" s="7">
        <f t="shared" si="26"/>
        <v>0</v>
      </c>
      <c r="F1723" s="8" t="s">
        <v>8</v>
      </c>
    </row>
    <row r="1724" spans="1:6" ht="18" customHeight="1">
      <c r="A1724" s="4" t="s">
        <v>44</v>
      </c>
      <c r="B1724" s="4" t="str">
        <f>"2020040128"</f>
        <v>2020040128</v>
      </c>
      <c r="C1724" s="5">
        <v>0</v>
      </c>
      <c r="D1724" s="6">
        <v>0</v>
      </c>
      <c r="E1724" s="7">
        <f t="shared" si="26"/>
        <v>0</v>
      </c>
      <c r="F1724" s="8" t="s">
        <v>8</v>
      </c>
    </row>
    <row r="1725" spans="1:6" ht="18" customHeight="1">
      <c r="A1725" s="4" t="s">
        <v>44</v>
      </c>
      <c r="B1725" s="4" t="str">
        <f>"2020041109"</f>
        <v>2020041109</v>
      </c>
      <c r="C1725" s="5">
        <v>0</v>
      </c>
      <c r="D1725" s="6">
        <v>0</v>
      </c>
      <c r="E1725" s="7">
        <f t="shared" si="26"/>
        <v>0</v>
      </c>
      <c r="F1725" s="8" t="s">
        <v>8</v>
      </c>
    </row>
    <row r="1726" spans="1:6" ht="18" customHeight="1">
      <c r="A1726" s="4" t="s">
        <v>44</v>
      </c>
      <c r="B1726" s="4" t="str">
        <f>"2020043406"</f>
        <v>2020043406</v>
      </c>
      <c r="C1726" s="5">
        <v>0</v>
      </c>
      <c r="D1726" s="6">
        <v>0</v>
      </c>
      <c r="E1726" s="7">
        <f t="shared" si="26"/>
        <v>0</v>
      </c>
      <c r="F1726" s="8" t="s">
        <v>8</v>
      </c>
    </row>
    <row r="1727" spans="1:6" ht="18" customHeight="1">
      <c r="A1727" s="4" t="s">
        <v>44</v>
      </c>
      <c r="B1727" s="4" t="str">
        <f>"2020046615"</f>
        <v>2020046615</v>
      </c>
      <c r="C1727" s="5">
        <v>0</v>
      </c>
      <c r="D1727" s="6">
        <v>0</v>
      </c>
      <c r="E1727" s="7">
        <f t="shared" si="26"/>
        <v>0</v>
      </c>
      <c r="F1727" s="8" t="s">
        <v>8</v>
      </c>
    </row>
    <row r="1728" spans="1:6" ht="18" customHeight="1">
      <c r="A1728" s="4" t="s">
        <v>45</v>
      </c>
      <c r="B1728" s="4" t="str">
        <f>"2020023010"</f>
        <v>2020023010</v>
      </c>
      <c r="C1728" s="5">
        <v>75.7</v>
      </c>
      <c r="D1728" s="6">
        <v>74.5</v>
      </c>
      <c r="E1728" s="7">
        <f t="shared" si="26"/>
        <v>150.19999999999999</v>
      </c>
      <c r="F1728" s="8"/>
    </row>
    <row r="1729" spans="1:6" ht="18" customHeight="1">
      <c r="A1729" s="4" t="s">
        <v>45</v>
      </c>
      <c r="B1729" s="4" t="str">
        <f>"2020046922"</f>
        <v>2020046922</v>
      </c>
      <c r="C1729" s="5">
        <v>69.099999999999994</v>
      </c>
      <c r="D1729" s="6">
        <v>77.5</v>
      </c>
      <c r="E1729" s="7">
        <f t="shared" si="26"/>
        <v>146.6</v>
      </c>
      <c r="F1729" s="8"/>
    </row>
    <row r="1730" spans="1:6" ht="18" customHeight="1">
      <c r="A1730" s="4" t="s">
        <v>45</v>
      </c>
      <c r="B1730" s="4" t="str">
        <f>"2020033528"</f>
        <v>2020033528</v>
      </c>
      <c r="C1730" s="5">
        <v>72.3</v>
      </c>
      <c r="D1730" s="6">
        <v>74</v>
      </c>
      <c r="E1730" s="7">
        <f t="shared" si="26"/>
        <v>146.30000000000001</v>
      </c>
      <c r="F1730" s="8"/>
    </row>
    <row r="1731" spans="1:6" ht="18" customHeight="1">
      <c r="A1731" s="4" t="s">
        <v>45</v>
      </c>
      <c r="B1731" s="4" t="str">
        <f>"2020044610"</f>
        <v>2020044610</v>
      </c>
      <c r="C1731" s="5">
        <v>67.099999999999994</v>
      </c>
      <c r="D1731" s="6">
        <v>78.5</v>
      </c>
      <c r="E1731" s="7">
        <f t="shared" ref="E1731:E1794" si="27">SUM(C1731:D1731)</f>
        <v>145.6</v>
      </c>
      <c r="F1731" s="8"/>
    </row>
    <row r="1732" spans="1:6" ht="18" customHeight="1">
      <c r="A1732" s="4" t="s">
        <v>45</v>
      </c>
      <c r="B1732" s="4" t="str">
        <f>"2020021518"</f>
        <v>2020021518</v>
      </c>
      <c r="C1732" s="5">
        <v>72.2</v>
      </c>
      <c r="D1732" s="6">
        <v>71.5</v>
      </c>
      <c r="E1732" s="7">
        <f t="shared" si="27"/>
        <v>143.69999999999999</v>
      </c>
      <c r="F1732" s="8"/>
    </row>
    <row r="1733" spans="1:6" ht="18" customHeight="1">
      <c r="A1733" s="4" t="s">
        <v>45</v>
      </c>
      <c r="B1733" s="4" t="str">
        <f>"2020021106"</f>
        <v>2020021106</v>
      </c>
      <c r="C1733" s="5">
        <v>63.9</v>
      </c>
      <c r="D1733" s="6">
        <v>76.5</v>
      </c>
      <c r="E1733" s="7">
        <f t="shared" si="27"/>
        <v>140.4</v>
      </c>
      <c r="F1733" s="8"/>
    </row>
    <row r="1734" spans="1:6" ht="18" customHeight="1">
      <c r="A1734" s="4" t="s">
        <v>45</v>
      </c>
      <c r="B1734" s="4" t="str">
        <f>"2020031009"</f>
        <v>2020031009</v>
      </c>
      <c r="C1734" s="5">
        <v>62.7</v>
      </c>
      <c r="D1734" s="6">
        <v>77</v>
      </c>
      <c r="E1734" s="7">
        <f t="shared" si="27"/>
        <v>139.69999999999999</v>
      </c>
      <c r="F1734" s="8"/>
    </row>
    <row r="1735" spans="1:6" ht="18" customHeight="1">
      <c r="A1735" s="4" t="s">
        <v>45</v>
      </c>
      <c r="B1735" s="4" t="str">
        <f>"2020031208"</f>
        <v>2020031208</v>
      </c>
      <c r="C1735" s="5">
        <v>69.3</v>
      </c>
      <c r="D1735" s="6">
        <v>68</v>
      </c>
      <c r="E1735" s="7">
        <f t="shared" si="27"/>
        <v>137.30000000000001</v>
      </c>
      <c r="F1735" s="8"/>
    </row>
    <row r="1736" spans="1:6" ht="18" customHeight="1">
      <c r="A1736" s="4" t="s">
        <v>45</v>
      </c>
      <c r="B1736" s="4" t="str">
        <f>"2020023029"</f>
        <v>2020023029</v>
      </c>
      <c r="C1736" s="5">
        <v>66.8</v>
      </c>
      <c r="D1736" s="6">
        <v>70</v>
      </c>
      <c r="E1736" s="7">
        <f t="shared" si="27"/>
        <v>136.80000000000001</v>
      </c>
      <c r="F1736" s="8"/>
    </row>
    <row r="1737" spans="1:6" ht="18" customHeight="1">
      <c r="A1737" s="4" t="s">
        <v>45</v>
      </c>
      <c r="B1737" s="4" t="str">
        <f>"2020043426"</f>
        <v>2020043426</v>
      </c>
      <c r="C1737" s="5">
        <v>65.7</v>
      </c>
      <c r="D1737" s="6">
        <v>71</v>
      </c>
      <c r="E1737" s="7">
        <f t="shared" si="27"/>
        <v>136.69999999999999</v>
      </c>
      <c r="F1737" s="8"/>
    </row>
    <row r="1738" spans="1:6" ht="18" customHeight="1">
      <c r="A1738" s="4" t="s">
        <v>45</v>
      </c>
      <c r="B1738" s="4" t="str">
        <f>"2020043630"</f>
        <v>2020043630</v>
      </c>
      <c r="C1738" s="5">
        <v>68.2</v>
      </c>
      <c r="D1738" s="6">
        <v>67.5</v>
      </c>
      <c r="E1738" s="7">
        <f t="shared" si="27"/>
        <v>135.69999999999999</v>
      </c>
      <c r="F1738" s="8"/>
    </row>
    <row r="1739" spans="1:6" ht="18" customHeight="1">
      <c r="A1739" s="4" t="s">
        <v>45</v>
      </c>
      <c r="B1739" s="4" t="str">
        <f>"2020022413"</f>
        <v>2020022413</v>
      </c>
      <c r="C1739" s="5">
        <v>65.8</v>
      </c>
      <c r="D1739" s="6">
        <v>69.5</v>
      </c>
      <c r="E1739" s="7">
        <f t="shared" si="27"/>
        <v>135.30000000000001</v>
      </c>
      <c r="F1739" s="8"/>
    </row>
    <row r="1740" spans="1:6" ht="18" customHeight="1">
      <c r="A1740" s="4" t="s">
        <v>45</v>
      </c>
      <c r="B1740" s="4" t="str">
        <f>"2020033307"</f>
        <v>2020033307</v>
      </c>
      <c r="C1740" s="5">
        <v>63</v>
      </c>
      <c r="D1740" s="6">
        <v>70.5</v>
      </c>
      <c r="E1740" s="7">
        <f t="shared" si="27"/>
        <v>133.5</v>
      </c>
      <c r="F1740" s="8"/>
    </row>
    <row r="1741" spans="1:6" ht="18" customHeight="1">
      <c r="A1741" s="4" t="s">
        <v>45</v>
      </c>
      <c r="B1741" s="4" t="str">
        <f>"2020022915"</f>
        <v>2020022915</v>
      </c>
      <c r="C1741" s="5">
        <v>64.900000000000006</v>
      </c>
      <c r="D1741" s="6">
        <v>61.5</v>
      </c>
      <c r="E1741" s="7">
        <f t="shared" si="27"/>
        <v>126.4</v>
      </c>
      <c r="F1741" s="8"/>
    </row>
    <row r="1742" spans="1:6" ht="18" customHeight="1">
      <c r="A1742" s="4" t="s">
        <v>45</v>
      </c>
      <c r="B1742" s="4" t="str">
        <f>"2020010409"</f>
        <v>2020010409</v>
      </c>
      <c r="C1742" s="5">
        <v>0</v>
      </c>
      <c r="D1742" s="6">
        <v>0</v>
      </c>
      <c r="E1742" s="7">
        <f t="shared" si="27"/>
        <v>0</v>
      </c>
      <c r="F1742" s="9" t="s">
        <v>8</v>
      </c>
    </row>
    <row r="1743" spans="1:6" ht="18" customHeight="1">
      <c r="A1743" s="4" t="s">
        <v>45</v>
      </c>
      <c r="B1743" s="4" t="str">
        <f>"2020023513"</f>
        <v>2020023513</v>
      </c>
      <c r="C1743" s="5">
        <v>0</v>
      </c>
      <c r="D1743" s="6">
        <v>0</v>
      </c>
      <c r="E1743" s="7">
        <f t="shared" si="27"/>
        <v>0</v>
      </c>
      <c r="F1743" s="8" t="s">
        <v>8</v>
      </c>
    </row>
    <row r="1744" spans="1:6" ht="18" customHeight="1">
      <c r="A1744" s="4" t="s">
        <v>45</v>
      </c>
      <c r="B1744" s="4" t="str">
        <f>"2020024510"</f>
        <v>2020024510</v>
      </c>
      <c r="C1744" s="5">
        <v>0</v>
      </c>
      <c r="D1744" s="6">
        <v>0</v>
      </c>
      <c r="E1744" s="7">
        <f t="shared" si="27"/>
        <v>0</v>
      </c>
      <c r="F1744" s="8" t="s">
        <v>8</v>
      </c>
    </row>
    <row r="1745" spans="1:6" ht="18" customHeight="1">
      <c r="A1745" s="4" t="s">
        <v>45</v>
      </c>
      <c r="B1745" s="4" t="str">
        <f>"2020040818"</f>
        <v>2020040818</v>
      </c>
      <c r="C1745" s="5">
        <v>0</v>
      </c>
      <c r="D1745" s="6">
        <v>0</v>
      </c>
      <c r="E1745" s="7">
        <f t="shared" si="27"/>
        <v>0</v>
      </c>
      <c r="F1745" s="8" t="s">
        <v>8</v>
      </c>
    </row>
    <row r="1746" spans="1:6" ht="18" customHeight="1">
      <c r="A1746" s="4" t="s">
        <v>46</v>
      </c>
      <c r="B1746" s="4" t="str">
        <f>"2020022711"</f>
        <v>2020022711</v>
      </c>
      <c r="C1746" s="5">
        <v>74.3</v>
      </c>
      <c r="D1746" s="6">
        <v>67.5</v>
      </c>
      <c r="E1746" s="7">
        <f t="shared" si="27"/>
        <v>141.80000000000001</v>
      </c>
      <c r="F1746" s="8"/>
    </row>
    <row r="1747" spans="1:6" ht="18" customHeight="1">
      <c r="A1747" s="4" t="s">
        <v>46</v>
      </c>
      <c r="B1747" s="4" t="str">
        <f>"2020011516"</f>
        <v>2020011516</v>
      </c>
      <c r="C1747" s="5">
        <v>69.599999999999994</v>
      </c>
      <c r="D1747" s="6">
        <v>71</v>
      </c>
      <c r="E1747" s="7">
        <f t="shared" si="27"/>
        <v>140.6</v>
      </c>
      <c r="F1747" s="8"/>
    </row>
    <row r="1748" spans="1:6" ht="18" customHeight="1">
      <c r="A1748" s="4" t="s">
        <v>46</v>
      </c>
      <c r="B1748" s="4" t="str">
        <f>"2020044120"</f>
        <v>2020044120</v>
      </c>
      <c r="C1748" s="5">
        <v>68.900000000000006</v>
      </c>
      <c r="D1748" s="6">
        <v>69.5</v>
      </c>
      <c r="E1748" s="7">
        <f t="shared" si="27"/>
        <v>138.4</v>
      </c>
      <c r="F1748" s="8"/>
    </row>
    <row r="1749" spans="1:6" ht="18" customHeight="1">
      <c r="A1749" s="4" t="s">
        <v>46</v>
      </c>
      <c r="B1749" s="4" t="str">
        <f>"2020031211"</f>
        <v>2020031211</v>
      </c>
      <c r="C1749" s="5">
        <v>0</v>
      </c>
      <c r="D1749" s="6">
        <v>0</v>
      </c>
      <c r="E1749" s="7">
        <f t="shared" si="27"/>
        <v>0</v>
      </c>
      <c r="F1749" s="8" t="s">
        <v>8</v>
      </c>
    </row>
    <row r="1750" spans="1:6" ht="18" customHeight="1">
      <c r="A1750" s="4" t="s">
        <v>46</v>
      </c>
      <c r="B1750" s="4" t="str">
        <f>"2020043310"</f>
        <v>2020043310</v>
      </c>
      <c r="C1750" s="5">
        <v>0</v>
      </c>
      <c r="D1750" s="6">
        <v>0</v>
      </c>
      <c r="E1750" s="7">
        <f t="shared" si="27"/>
        <v>0</v>
      </c>
      <c r="F1750" s="8" t="s">
        <v>8</v>
      </c>
    </row>
    <row r="1751" spans="1:6" ht="18" customHeight="1">
      <c r="A1751" s="4" t="s">
        <v>47</v>
      </c>
      <c r="B1751" s="4" t="str">
        <f>"2020042310"</f>
        <v>2020042310</v>
      </c>
      <c r="C1751" s="5">
        <v>78.2</v>
      </c>
      <c r="D1751" s="6">
        <v>83.5</v>
      </c>
      <c r="E1751" s="7">
        <f t="shared" si="27"/>
        <v>161.69999999999999</v>
      </c>
      <c r="F1751" s="8"/>
    </row>
    <row r="1752" spans="1:6" ht="18" customHeight="1">
      <c r="A1752" s="4" t="s">
        <v>47</v>
      </c>
      <c r="B1752" s="4" t="str">
        <f>"2020022308"</f>
        <v>2020022308</v>
      </c>
      <c r="C1752" s="5">
        <v>76.599999999999994</v>
      </c>
      <c r="D1752" s="6">
        <v>82</v>
      </c>
      <c r="E1752" s="7">
        <f t="shared" si="27"/>
        <v>158.6</v>
      </c>
      <c r="F1752" s="8"/>
    </row>
    <row r="1753" spans="1:6" ht="18" customHeight="1">
      <c r="A1753" s="4" t="s">
        <v>47</v>
      </c>
      <c r="B1753" s="4" t="str">
        <f>"2020010530"</f>
        <v>2020010530</v>
      </c>
      <c r="C1753" s="5">
        <v>78.900000000000006</v>
      </c>
      <c r="D1753" s="6">
        <v>78.5</v>
      </c>
      <c r="E1753" s="7">
        <f t="shared" si="27"/>
        <v>157.4</v>
      </c>
      <c r="F1753" s="8"/>
    </row>
    <row r="1754" spans="1:6" ht="18" customHeight="1">
      <c r="A1754" s="4" t="s">
        <v>47</v>
      </c>
      <c r="B1754" s="4" t="str">
        <f>"2020011602"</f>
        <v>2020011602</v>
      </c>
      <c r="C1754" s="5">
        <v>78.5</v>
      </c>
      <c r="D1754" s="6">
        <v>77.5</v>
      </c>
      <c r="E1754" s="7">
        <f t="shared" si="27"/>
        <v>156</v>
      </c>
      <c r="F1754" s="8"/>
    </row>
    <row r="1755" spans="1:6" ht="18" customHeight="1">
      <c r="A1755" s="4" t="s">
        <v>47</v>
      </c>
      <c r="B1755" s="4" t="str">
        <f>"2020020806"</f>
        <v>2020020806</v>
      </c>
      <c r="C1755" s="5">
        <v>66.7</v>
      </c>
      <c r="D1755" s="6">
        <v>82</v>
      </c>
      <c r="E1755" s="7">
        <f t="shared" si="27"/>
        <v>148.69999999999999</v>
      </c>
      <c r="F1755" s="8"/>
    </row>
    <row r="1756" spans="1:6" ht="18" customHeight="1">
      <c r="A1756" s="4" t="s">
        <v>47</v>
      </c>
      <c r="B1756" s="4" t="str">
        <f>"2020043307"</f>
        <v>2020043307</v>
      </c>
      <c r="C1756" s="5">
        <v>72.3</v>
      </c>
      <c r="D1756" s="6">
        <v>75</v>
      </c>
      <c r="E1756" s="7">
        <f t="shared" si="27"/>
        <v>147.30000000000001</v>
      </c>
      <c r="F1756" s="8"/>
    </row>
    <row r="1757" spans="1:6" ht="18" customHeight="1">
      <c r="A1757" s="4" t="s">
        <v>47</v>
      </c>
      <c r="B1757" s="4" t="str">
        <f>"2020022022"</f>
        <v>2020022022</v>
      </c>
      <c r="C1757" s="5">
        <v>63.5</v>
      </c>
      <c r="D1757" s="6">
        <v>83</v>
      </c>
      <c r="E1757" s="7">
        <f t="shared" si="27"/>
        <v>146.5</v>
      </c>
      <c r="F1757" s="8"/>
    </row>
    <row r="1758" spans="1:6" ht="18" customHeight="1">
      <c r="A1758" s="4" t="s">
        <v>47</v>
      </c>
      <c r="B1758" s="4" t="str">
        <f>"2020012518"</f>
        <v>2020012518</v>
      </c>
      <c r="C1758" s="5">
        <v>71.8</v>
      </c>
      <c r="D1758" s="6">
        <v>74.5</v>
      </c>
      <c r="E1758" s="7">
        <f t="shared" si="27"/>
        <v>146.30000000000001</v>
      </c>
      <c r="F1758" s="8"/>
    </row>
    <row r="1759" spans="1:6" ht="18" customHeight="1">
      <c r="A1759" s="4" t="s">
        <v>47</v>
      </c>
      <c r="B1759" s="4" t="str">
        <f>"2020012015"</f>
        <v>2020012015</v>
      </c>
      <c r="C1759" s="5">
        <v>67.5</v>
      </c>
      <c r="D1759" s="6">
        <v>76.5</v>
      </c>
      <c r="E1759" s="7">
        <f t="shared" si="27"/>
        <v>144</v>
      </c>
      <c r="F1759" s="8"/>
    </row>
    <row r="1760" spans="1:6" ht="18" customHeight="1">
      <c r="A1760" s="4" t="s">
        <v>47</v>
      </c>
      <c r="B1760" s="4" t="str">
        <f>"2020021602"</f>
        <v>2020021602</v>
      </c>
      <c r="C1760" s="5">
        <v>70.3</v>
      </c>
      <c r="D1760" s="6">
        <v>72</v>
      </c>
      <c r="E1760" s="7">
        <f t="shared" si="27"/>
        <v>142.30000000000001</v>
      </c>
      <c r="F1760" s="8"/>
    </row>
    <row r="1761" spans="1:6" ht="18" customHeight="1">
      <c r="A1761" s="4" t="s">
        <v>47</v>
      </c>
      <c r="B1761" s="4" t="str">
        <f>"2020041808"</f>
        <v>2020041808</v>
      </c>
      <c r="C1761" s="5">
        <v>71.5</v>
      </c>
      <c r="D1761" s="6">
        <v>65.5</v>
      </c>
      <c r="E1761" s="7">
        <f t="shared" si="27"/>
        <v>137</v>
      </c>
      <c r="F1761" s="8"/>
    </row>
    <row r="1762" spans="1:6" ht="18" customHeight="1">
      <c r="A1762" s="4" t="s">
        <v>47</v>
      </c>
      <c r="B1762" s="4" t="str">
        <f>"2020040323"</f>
        <v>2020040323</v>
      </c>
      <c r="C1762" s="5">
        <v>64.3</v>
      </c>
      <c r="D1762" s="6">
        <v>65.5</v>
      </c>
      <c r="E1762" s="7">
        <f t="shared" si="27"/>
        <v>129.80000000000001</v>
      </c>
      <c r="F1762" s="8"/>
    </row>
    <row r="1763" spans="1:6" ht="18" customHeight="1">
      <c r="A1763" s="4" t="s">
        <v>47</v>
      </c>
      <c r="B1763" s="4" t="str">
        <f>"2020010605"</f>
        <v>2020010605</v>
      </c>
      <c r="C1763" s="5">
        <v>0</v>
      </c>
      <c r="D1763" s="6">
        <v>0</v>
      </c>
      <c r="E1763" s="7">
        <f t="shared" si="27"/>
        <v>0</v>
      </c>
      <c r="F1763" s="9" t="s">
        <v>8</v>
      </c>
    </row>
    <row r="1764" spans="1:6" ht="18" customHeight="1">
      <c r="A1764" s="4" t="s">
        <v>47</v>
      </c>
      <c r="B1764" s="4" t="str">
        <f>"2020030815"</f>
        <v>2020030815</v>
      </c>
      <c r="C1764" s="5">
        <v>0</v>
      </c>
      <c r="D1764" s="6">
        <v>0</v>
      </c>
      <c r="E1764" s="7">
        <f t="shared" si="27"/>
        <v>0</v>
      </c>
      <c r="F1764" s="8" t="s">
        <v>8</v>
      </c>
    </row>
    <row r="1765" spans="1:6" ht="18" customHeight="1">
      <c r="A1765" s="4" t="s">
        <v>47</v>
      </c>
      <c r="B1765" s="4" t="str">
        <f>"2020040527"</f>
        <v>2020040527</v>
      </c>
      <c r="C1765" s="5">
        <v>0</v>
      </c>
      <c r="D1765" s="6">
        <v>0</v>
      </c>
      <c r="E1765" s="7">
        <f t="shared" si="27"/>
        <v>0</v>
      </c>
      <c r="F1765" s="8" t="s">
        <v>8</v>
      </c>
    </row>
    <row r="1766" spans="1:6" ht="18" customHeight="1">
      <c r="A1766" s="4" t="s">
        <v>47</v>
      </c>
      <c r="B1766" s="4" t="str">
        <f>"2020047514"</f>
        <v>2020047514</v>
      </c>
      <c r="C1766" s="5">
        <v>0</v>
      </c>
      <c r="D1766" s="6">
        <v>0</v>
      </c>
      <c r="E1766" s="7">
        <f t="shared" si="27"/>
        <v>0</v>
      </c>
      <c r="F1766" s="8" t="s">
        <v>8</v>
      </c>
    </row>
    <row r="1767" spans="1:6" ht="18" customHeight="1">
      <c r="A1767" s="4" t="s">
        <v>48</v>
      </c>
      <c r="B1767" s="4" t="str">
        <f>"2020047204"</f>
        <v>2020047204</v>
      </c>
      <c r="C1767" s="5">
        <v>82.7</v>
      </c>
      <c r="D1767" s="6">
        <v>79</v>
      </c>
      <c r="E1767" s="7">
        <f t="shared" si="27"/>
        <v>161.69999999999999</v>
      </c>
      <c r="F1767" s="8"/>
    </row>
    <row r="1768" spans="1:6" ht="18" customHeight="1">
      <c r="A1768" s="4" t="s">
        <v>48</v>
      </c>
      <c r="B1768" s="4" t="str">
        <f>"2020011926"</f>
        <v>2020011926</v>
      </c>
      <c r="C1768" s="5">
        <v>70.099999999999994</v>
      </c>
      <c r="D1768" s="6">
        <v>89.5</v>
      </c>
      <c r="E1768" s="7">
        <f t="shared" si="27"/>
        <v>159.6</v>
      </c>
      <c r="F1768" s="8"/>
    </row>
    <row r="1769" spans="1:6" ht="18" customHeight="1">
      <c r="A1769" s="4" t="s">
        <v>48</v>
      </c>
      <c r="B1769" s="4" t="str">
        <f>"2020041126"</f>
        <v>2020041126</v>
      </c>
      <c r="C1769" s="5">
        <v>68.3</v>
      </c>
      <c r="D1769" s="6">
        <v>88.5</v>
      </c>
      <c r="E1769" s="7">
        <f t="shared" si="27"/>
        <v>156.80000000000001</v>
      </c>
      <c r="F1769" s="8"/>
    </row>
    <row r="1770" spans="1:6" ht="18" customHeight="1">
      <c r="A1770" s="4" t="s">
        <v>48</v>
      </c>
      <c r="B1770" s="4" t="str">
        <f>"2020041105"</f>
        <v>2020041105</v>
      </c>
      <c r="C1770" s="5">
        <v>67.7</v>
      </c>
      <c r="D1770" s="6">
        <v>88.5</v>
      </c>
      <c r="E1770" s="7">
        <f t="shared" si="27"/>
        <v>156.19999999999999</v>
      </c>
      <c r="F1770" s="8"/>
    </row>
    <row r="1771" spans="1:6" ht="18" customHeight="1">
      <c r="A1771" s="4" t="s">
        <v>48</v>
      </c>
      <c r="B1771" s="4" t="str">
        <f>"2020013525"</f>
        <v>2020013525</v>
      </c>
      <c r="C1771" s="5">
        <v>74.599999999999994</v>
      </c>
      <c r="D1771" s="6">
        <v>80.5</v>
      </c>
      <c r="E1771" s="7">
        <f t="shared" si="27"/>
        <v>155.1</v>
      </c>
      <c r="F1771" s="8"/>
    </row>
    <row r="1772" spans="1:6" ht="18" customHeight="1">
      <c r="A1772" s="4" t="s">
        <v>48</v>
      </c>
      <c r="B1772" s="4" t="str">
        <f>"2020042717"</f>
        <v>2020042717</v>
      </c>
      <c r="C1772" s="5">
        <v>71.5</v>
      </c>
      <c r="D1772" s="6">
        <v>83.5</v>
      </c>
      <c r="E1772" s="7">
        <f t="shared" si="27"/>
        <v>155</v>
      </c>
      <c r="F1772" s="8"/>
    </row>
    <row r="1773" spans="1:6" ht="18" customHeight="1">
      <c r="A1773" s="4" t="s">
        <v>48</v>
      </c>
      <c r="B1773" s="4" t="str">
        <f>"2020010926"</f>
        <v>2020010926</v>
      </c>
      <c r="C1773" s="5">
        <v>75.3</v>
      </c>
      <c r="D1773" s="6">
        <v>79.5</v>
      </c>
      <c r="E1773" s="7">
        <f t="shared" si="27"/>
        <v>154.80000000000001</v>
      </c>
      <c r="F1773" s="8"/>
    </row>
    <row r="1774" spans="1:6" ht="18" customHeight="1">
      <c r="A1774" s="4" t="s">
        <v>48</v>
      </c>
      <c r="B1774" s="4" t="str">
        <f>"2020020803"</f>
        <v>2020020803</v>
      </c>
      <c r="C1774" s="5">
        <v>74.900000000000006</v>
      </c>
      <c r="D1774" s="6">
        <v>78.5</v>
      </c>
      <c r="E1774" s="7">
        <f t="shared" si="27"/>
        <v>153.4</v>
      </c>
      <c r="F1774" s="8"/>
    </row>
    <row r="1775" spans="1:6" ht="18" customHeight="1">
      <c r="A1775" s="4" t="s">
        <v>48</v>
      </c>
      <c r="B1775" s="4" t="str">
        <f>"2020046926"</f>
        <v>2020046926</v>
      </c>
      <c r="C1775" s="5">
        <v>73.099999999999994</v>
      </c>
      <c r="D1775" s="6">
        <v>79</v>
      </c>
      <c r="E1775" s="7">
        <f t="shared" si="27"/>
        <v>152.1</v>
      </c>
      <c r="F1775" s="8"/>
    </row>
    <row r="1776" spans="1:6" ht="18" customHeight="1">
      <c r="A1776" s="4" t="s">
        <v>48</v>
      </c>
      <c r="B1776" s="4" t="str">
        <f>"2020041408"</f>
        <v>2020041408</v>
      </c>
      <c r="C1776" s="5">
        <v>73.400000000000006</v>
      </c>
      <c r="D1776" s="6">
        <v>76.5</v>
      </c>
      <c r="E1776" s="7">
        <f t="shared" si="27"/>
        <v>149.9</v>
      </c>
      <c r="F1776" s="8"/>
    </row>
    <row r="1777" spans="1:6" ht="18" customHeight="1">
      <c r="A1777" s="4" t="s">
        <v>48</v>
      </c>
      <c r="B1777" s="4" t="str">
        <f>"2020020814"</f>
        <v>2020020814</v>
      </c>
      <c r="C1777" s="5">
        <v>63.1</v>
      </c>
      <c r="D1777" s="6">
        <v>86.5</v>
      </c>
      <c r="E1777" s="7">
        <f t="shared" si="27"/>
        <v>149.6</v>
      </c>
      <c r="F1777" s="8"/>
    </row>
    <row r="1778" spans="1:6" ht="18" customHeight="1">
      <c r="A1778" s="4" t="s">
        <v>48</v>
      </c>
      <c r="B1778" s="4" t="str">
        <f>"2020021209"</f>
        <v>2020021209</v>
      </c>
      <c r="C1778" s="5">
        <v>73.599999999999994</v>
      </c>
      <c r="D1778" s="6">
        <v>75.5</v>
      </c>
      <c r="E1778" s="7">
        <f t="shared" si="27"/>
        <v>149.1</v>
      </c>
      <c r="F1778" s="8"/>
    </row>
    <row r="1779" spans="1:6" ht="18" customHeight="1">
      <c r="A1779" s="4" t="s">
        <v>48</v>
      </c>
      <c r="B1779" s="4" t="str">
        <f>"2020046904"</f>
        <v>2020046904</v>
      </c>
      <c r="C1779" s="5">
        <v>75.8</v>
      </c>
      <c r="D1779" s="6">
        <v>72.5</v>
      </c>
      <c r="E1779" s="7">
        <f t="shared" si="27"/>
        <v>148.30000000000001</v>
      </c>
      <c r="F1779" s="8"/>
    </row>
    <row r="1780" spans="1:6" ht="18" customHeight="1">
      <c r="A1780" s="4" t="s">
        <v>48</v>
      </c>
      <c r="B1780" s="4" t="str">
        <f>"2020040319"</f>
        <v>2020040319</v>
      </c>
      <c r="C1780" s="5">
        <v>75.3</v>
      </c>
      <c r="D1780" s="6">
        <v>71.5</v>
      </c>
      <c r="E1780" s="7">
        <f t="shared" si="27"/>
        <v>146.80000000000001</v>
      </c>
      <c r="F1780" s="8"/>
    </row>
    <row r="1781" spans="1:6" ht="18" customHeight="1">
      <c r="A1781" s="4" t="s">
        <v>48</v>
      </c>
      <c r="B1781" s="4" t="str">
        <f>"2020013020"</f>
        <v>2020013020</v>
      </c>
      <c r="C1781" s="5">
        <v>71.599999999999994</v>
      </c>
      <c r="D1781" s="6">
        <v>74.5</v>
      </c>
      <c r="E1781" s="7">
        <f t="shared" si="27"/>
        <v>146.1</v>
      </c>
      <c r="F1781" s="8"/>
    </row>
    <row r="1782" spans="1:6" ht="18" customHeight="1">
      <c r="A1782" s="4" t="s">
        <v>48</v>
      </c>
      <c r="B1782" s="4" t="str">
        <f>"2020023922"</f>
        <v>2020023922</v>
      </c>
      <c r="C1782" s="5">
        <v>68</v>
      </c>
      <c r="D1782" s="6">
        <v>77.5</v>
      </c>
      <c r="E1782" s="7">
        <f t="shared" si="27"/>
        <v>145.5</v>
      </c>
      <c r="F1782" s="8"/>
    </row>
    <row r="1783" spans="1:6" ht="18" customHeight="1">
      <c r="A1783" s="4" t="s">
        <v>48</v>
      </c>
      <c r="B1783" s="4" t="str">
        <f>"2020043911"</f>
        <v>2020043911</v>
      </c>
      <c r="C1783" s="5">
        <v>69.7</v>
      </c>
      <c r="D1783" s="6">
        <v>75</v>
      </c>
      <c r="E1783" s="7">
        <f t="shared" si="27"/>
        <v>144.69999999999999</v>
      </c>
      <c r="F1783" s="8"/>
    </row>
    <row r="1784" spans="1:6" ht="18" customHeight="1">
      <c r="A1784" s="4" t="s">
        <v>48</v>
      </c>
      <c r="B1784" s="4" t="str">
        <f>"2020042418"</f>
        <v>2020042418</v>
      </c>
      <c r="C1784" s="5">
        <v>72.400000000000006</v>
      </c>
      <c r="D1784" s="6">
        <v>72</v>
      </c>
      <c r="E1784" s="7">
        <f t="shared" si="27"/>
        <v>144.4</v>
      </c>
      <c r="F1784" s="8"/>
    </row>
    <row r="1785" spans="1:6" ht="18" customHeight="1">
      <c r="A1785" s="4" t="s">
        <v>48</v>
      </c>
      <c r="B1785" s="4" t="str">
        <f>"2020021524"</f>
        <v>2020021524</v>
      </c>
      <c r="C1785" s="5">
        <v>66.599999999999994</v>
      </c>
      <c r="D1785" s="6">
        <v>77</v>
      </c>
      <c r="E1785" s="7">
        <f t="shared" si="27"/>
        <v>143.6</v>
      </c>
      <c r="F1785" s="8"/>
    </row>
    <row r="1786" spans="1:6" ht="18" customHeight="1">
      <c r="A1786" s="4" t="s">
        <v>48</v>
      </c>
      <c r="B1786" s="4" t="str">
        <f>"2020020714"</f>
        <v>2020020714</v>
      </c>
      <c r="C1786" s="5">
        <v>72.099999999999994</v>
      </c>
      <c r="D1786" s="6">
        <v>70.5</v>
      </c>
      <c r="E1786" s="7">
        <f t="shared" si="27"/>
        <v>142.6</v>
      </c>
      <c r="F1786" s="8"/>
    </row>
    <row r="1787" spans="1:6" ht="18" customHeight="1">
      <c r="A1787" s="4" t="s">
        <v>48</v>
      </c>
      <c r="B1787" s="4" t="str">
        <f>"2020042519"</f>
        <v>2020042519</v>
      </c>
      <c r="C1787" s="5">
        <v>76.099999999999994</v>
      </c>
      <c r="D1787" s="6">
        <v>66</v>
      </c>
      <c r="E1787" s="7">
        <f t="shared" si="27"/>
        <v>142.1</v>
      </c>
      <c r="F1787" s="8"/>
    </row>
    <row r="1788" spans="1:6" ht="18" customHeight="1">
      <c r="A1788" s="4" t="s">
        <v>48</v>
      </c>
      <c r="B1788" s="4" t="str">
        <f>"2020047513"</f>
        <v>2020047513</v>
      </c>
      <c r="C1788" s="5">
        <v>82.6</v>
      </c>
      <c r="D1788" s="6">
        <v>58.5</v>
      </c>
      <c r="E1788" s="7">
        <f t="shared" si="27"/>
        <v>141.1</v>
      </c>
      <c r="F1788" s="8"/>
    </row>
    <row r="1789" spans="1:6" ht="18" customHeight="1">
      <c r="A1789" s="4" t="s">
        <v>48</v>
      </c>
      <c r="B1789" s="4" t="str">
        <f>"2020021705"</f>
        <v>2020021705</v>
      </c>
      <c r="C1789" s="5">
        <v>60.9</v>
      </c>
      <c r="D1789" s="6">
        <v>80</v>
      </c>
      <c r="E1789" s="7">
        <f t="shared" si="27"/>
        <v>140.9</v>
      </c>
      <c r="F1789" s="8"/>
    </row>
    <row r="1790" spans="1:6" ht="18" customHeight="1">
      <c r="A1790" s="4" t="s">
        <v>48</v>
      </c>
      <c r="B1790" s="4" t="str">
        <f>"2020047523"</f>
        <v>2020047523</v>
      </c>
      <c r="C1790" s="5">
        <v>73.400000000000006</v>
      </c>
      <c r="D1790" s="6">
        <v>67</v>
      </c>
      <c r="E1790" s="7">
        <f t="shared" si="27"/>
        <v>140.4</v>
      </c>
      <c r="F1790" s="8"/>
    </row>
    <row r="1791" spans="1:6" ht="18" customHeight="1">
      <c r="A1791" s="4" t="s">
        <v>48</v>
      </c>
      <c r="B1791" s="4" t="str">
        <f>"2020020808"</f>
        <v>2020020808</v>
      </c>
      <c r="C1791" s="5">
        <v>71.5</v>
      </c>
      <c r="D1791" s="6">
        <v>68.5</v>
      </c>
      <c r="E1791" s="7">
        <f t="shared" si="27"/>
        <v>140</v>
      </c>
      <c r="F1791" s="8"/>
    </row>
    <row r="1792" spans="1:6" ht="18" customHeight="1">
      <c r="A1792" s="4" t="s">
        <v>48</v>
      </c>
      <c r="B1792" s="4" t="str">
        <f>"2020041806"</f>
        <v>2020041806</v>
      </c>
      <c r="C1792" s="5">
        <v>68.3</v>
      </c>
      <c r="D1792" s="6">
        <v>71.5</v>
      </c>
      <c r="E1792" s="7">
        <f t="shared" si="27"/>
        <v>139.80000000000001</v>
      </c>
      <c r="F1792" s="8"/>
    </row>
    <row r="1793" spans="1:6" ht="18" customHeight="1">
      <c r="A1793" s="4" t="s">
        <v>48</v>
      </c>
      <c r="B1793" s="4" t="str">
        <f>"2020040113"</f>
        <v>2020040113</v>
      </c>
      <c r="C1793" s="5">
        <v>70.900000000000006</v>
      </c>
      <c r="D1793" s="6">
        <v>67.5</v>
      </c>
      <c r="E1793" s="7">
        <f t="shared" si="27"/>
        <v>138.4</v>
      </c>
      <c r="F1793" s="8"/>
    </row>
    <row r="1794" spans="1:6" ht="18" customHeight="1">
      <c r="A1794" s="4" t="s">
        <v>48</v>
      </c>
      <c r="B1794" s="4" t="str">
        <f>"2020010829"</f>
        <v>2020010829</v>
      </c>
      <c r="C1794" s="5">
        <v>73.7</v>
      </c>
      <c r="D1794" s="6">
        <v>64.5</v>
      </c>
      <c r="E1794" s="7">
        <f t="shared" si="27"/>
        <v>138.19999999999999</v>
      </c>
      <c r="F1794" s="8"/>
    </row>
    <row r="1795" spans="1:6" ht="18" customHeight="1">
      <c r="A1795" s="4" t="s">
        <v>48</v>
      </c>
      <c r="B1795" s="4" t="str">
        <f>"2020032903"</f>
        <v>2020032903</v>
      </c>
      <c r="C1795" s="5">
        <v>69.900000000000006</v>
      </c>
      <c r="D1795" s="6">
        <v>66.5</v>
      </c>
      <c r="E1795" s="7">
        <f t="shared" ref="E1795:E1858" si="28">SUM(C1795:D1795)</f>
        <v>136.4</v>
      </c>
      <c r="F1795" s="8"/>
    </row>
    <row r="1796" spans="1:6" ht="18" customHeight="1">
      <c r="A1796" s="4" t="s">
        <v>48</v>
      </c>
      <c r="B1796" s="4" t="str">
        <f>"2020040802"</f>
        <v>2020040802</v>
      </c>
      <c r="C1796" s="5">
        <v>61.5</v>
      </c>
      <c r="D1796" s="6">
        <v>73</v>
      </c>
      <c r="E1796" s="7">
        <f t="shared" si="28"/>
        <v>134.5</v>
      </c>
      <c r="F1796" s="8"/>
    </row>
    <row r="1797" spans="1:6" ht="18" customHeight="1">
      <c r="A1797" s="4" t="s">
        <v>48</v>
      </c>
      <c r="B1797" s="4" t="str">
        <f>"2020020601"</f>
        <v>2020020601</v>
      </c>
      <c r="C1797" s="5">
        <v>68.8</v>
      </c>
      <c r="D1797" s="6">
        <v>65</v>
      </c>
      <c r="E1797" s="7">
        <f t="shared" si="28"/>
        <v>133.80000000000001</v>
      </c>
      <c r="F1797" s="8"/>
    </row>
    <row r="1798" spans="1:6" ht="18" customHeight="1">
      <c r="A1798" s="4" t="s">
        <v>48</v>
      </c>
      <c r="B1798" s="4" t="str">
        <f>"2020046313"</f>
        <v>2020046313</v>
      </c>
      <c r="C1798" s="5">
        <v>61.1</v>
      </c>
      <c r="D1798" s="6">
        <v>71.5</v>
      </c>
      <c r="E1798" s="7">
        <f t="shared" si="28"/>
        <v>132.6</v>
      </c>
      <c r="F1798" s="8"/>
    </row>
    <row r="1799" spans="1:6" ht="18" customHeight="1">
      <c r="A1799" s="4" t="s">
        <v>48</v>
      </c>
      <c r="B1799" s="4" t="str">
        <f>"2020010725"</f>
        <v>2020010725</v>
      </c>
      <c r="C1799" s="5">
        <v>59.4</v>
      </c>
      <c r="D1799" s="6">
        <v>71</v>
      </c>
      <c r="E1799" s="7">
        <f t="shared" si="28"/>
        <v>130.4</v>
      </c>
      <c r="F1799" s="8"/>
    </row>
    <row r="1800" spans="1:6" ht="18" customHeight="1">
      <c r="A1800" s="4" t="s">
        <v>48</v>
      </c>
      <c r="B1800" s="4" t="str">
        <f>"2020024209"</f>
        <v>2020024209</v>
      </c>
      <c r="C1800" s="5">
        <v>57.5</v>
      </c>
      <c r="D1800" s="6">
        <v>70.5</v>
      </c>
      <c r="E1800" s="7">
        <f t="shared" si="28"/>
        <v>128</v>
      </c>
      <c r="F1800" s="8"/>
    </row>
    <row r="1801" spans="1:6" ht="18" customHeight="1">
      <c r="A1801" s="4" t="s">
        <v>48</v>
      </c>
      <c r="B1801" s="4" t="str">
        <f>"2020012727"</f>
        <v>2020012727</v>
      </c>
      <c r="C1801" s="5">
        <v>64.5</v>
      </c>
      <c r="D1801" s="6">
        <v>61</v>
      </c>
      <c r="E1801" s="7">
        <f t="shared" si="28"/>
        <v>125.5</v>
      </c>
      <c r="F1801" s="8"/>
    </row>
    <row r="1802" spans="1:6" ht="18" customHeight="1">
      <c r="A1802" s="4" t="s">
        <v>48</v>
      </c>
      <c r="B1802" s="4" t="str">
        <f>"2020021022"</f>
        <v>2020021022</v>
      </c>
      <c r="C1802" s="5">
        <v>61.8</v>
      </c>
      <c r="D1802" s="6">
        <v>63.5</v>
      </c>
      <c r="E1802" s="7">
        <f t="shared" si="28"/>
        <v>125.3</v>
      </c>
      <c r="F1802" s="8"/>
    </row>
    <row r="1803" spans="1:6" ht="18" customHeight="1">
      <c r="A1803" s="4" t="s">
        <v>48</v>
      </c>
      <c r="B1803" s="4" t="str">
        <f>"2020041225"</f>
        <v>2020041225</v>
      </c>
      <c r="C1803" s="5">
        <v>70.3</v>
      </c>
      <c r="D1803" s="6">
        <v>53</v>
      </c>
      <c r="E1803" s="7">
        <f t="shared" si="28"/>
        <v>123.3</v>
      </c>
      <c r="F1803" s="8"/>
    </row>
    <row r="1804" spans="1:6" ht="18" customHeight="1">
      <c r="A1804" s="4" t="s">
        <v>48</v>
      </c>
      <c r="B1804" s="4" t="str">
        <f>"2020010326"</f>
        <v>2020010326</v>
      </c>
      <c r="C1804" s="5">
        <v>53.3</v>
      </c>
      <c r="D1804" s="6">
        <v>70</v>
      </c>
      <c r="E1804" s="7">
        <f t="shared" si="28"/>
        <v>123.3</v>
      </c>
      <c r="F1804" s="8"/>
    </row>
    <row r="1805" spans="1:6" ht="18" customHeight="1">
      <c r="A1805" s="4" t="s">
        <v>48</v>
      </c>
      <c r="B1805" s="4" t="str">
        <f>"2020022508"</f>
        <v>2020022508</v>
      </c>
      <c r="C1805" s="5">
        <v>68.5</v>
      </c>
      <c r="D1805" s="6">
        <v>54</v>
      </c>
      <c r="E1805" s="7">
        <f t="shared" si="28"/>
        <v>122.5</v>
      </c>
      <c r="F1805" s="8"/>
    </row>
    <row r="1806" spans="1:6" ht="18" customHeight="1">
      <c r="A1806" s="4" t="s">
        <v>48</v>
      </c>
      <c r="B1806" s="4" t="str">
        <f>"2020024621"</f>
        <v>2020024621</v>
      </c>
      <c r="C1806" s="5">
        <v>65.3</v>
      </c>
      <c r="D1806" s="6">
        <v>55</v>
      </c>
      <c r="E1806" s="7">
        <f t="shared" si="28"/>
        <v>120.3</v>
      </c>
      <c r="F1806" s="8"/>
    </row>
    <row r="1807" spans="1:6" ht="18" customHeight="1">
      <c r="A1807" s="4" t="s">
        <v>48</v>
      </c>
      <c r="B1807" s="4" t="str">
        <f>"2020031220"</f>
        <v>2020031220</v>
      </c>
      <c r="C1807" s="5">
        <v>63.9</v>
      </c>
      <c r="D1807" s="6">
        <v>55</v>
      </c>
      <c r="E1807" s="7">
        <f t="shared" si="28"/>
        <v>118.9</v>
      </c>
      <c r="F1807" s="8"/>
    </row>
    <row r="1808" spans="1:6" ht="18" customHeight="1">
      <c r="A1808" s="4" t="s">
        <v>48</v>
      </c>
      <c r="B1808" s="4" t="str">
        <f>"2020020802"</f>
        <v>2020020802</v>
      </c>
      <c r="C1808" s="5">
        <v>55.5</v>
      </c>
      <c r="D1808" s="6">
        <v>59.5</v>
      </c>
      <c r="E1808" s="7">
        <f t="shared" si="28"/>
        <v>115</v>
      </c>
      <c r="F1808" s="8"/>
    </row>
    <row r="1809" spans="1:6" ht="18" customHeight="1">
      <c r="A1809" s="4" t="s">
        <v>48</v>
      </c>
      <c r="B1809" s="4" t="str">
        <f>"2020020430"</f>
        <v>2020020430</v>
      </c>
      <c r="C1809" s="5">
        <v>61.8</v>
      </c>
      <c r="D1809" s="6">
        <v>41.5</v>
      </c>
      <c r="E1809" s="7">
        <f t="shared" si="28"/>
        <v>103.3</v>
      </c>
      <c r="F1809" s="8"/>
    </row>
    <row r="1810" spans="1:6" ht="18" customHeight="1">
      <c r="A1810" s="4" t="s">
        <v>48</v>
      </c>
      <c r="B1810" s="4" t="str">
        <f>"2020045213"</f>
        <v>2020045213</v>
      </c>
      <c r="C1810" s="5">
        <v>49.5</v>
      </c>
      <c r="D1810" s="6">
        <v>50</v>
      </c>
      <c r="E1810" s="7">
        <f t="shared" si="28"/>
        <v>99.5</v>
      </c>
      <c r="F1810" s="8"/>
    </row>
    <row r="1811" spans="1:6" ht="18" customHeight="1">
      <c r="A1811" s="4" t="s">
        <v>48</v>
      </c>
      <c r="B1811" s="4" t="str">
        <f>"2020010325"</f>
        <v>2020010325</v>
      </c>
      <c r="C1811" s="5">
        <v>0</v>
      </c>
      <c r="D1811" s="6">
        <v>0</v>
      </c>
      <c r="E1811" s="7">
        <f t="shared" si="28"/>
        <v>0</v>
      </c>
      <c r="F1811" s="9" t="s">
        <v>8</v>
      </c>
    </row>
    <row r="1812" spans="1:6" ht="18" customHeight="1">
      <c r="A1812" s="4" t="s">
        <v>48</v>
      </c>
      <c r="B1812" s="4" t="str">
        <f>"2020011008"</f>
        <v>2020011008</v>
      </c>
      <c r="C1812" s="5">
        <v>0</v>
      </c>
      <c r="D1812" s="6">
        <v>0</v>
      </c>
      <c r="E1812" s="7">
        <f t="shared" si="28"/>
        <v>0</v>
      </c>
      <c r="F1812" s="9" t="s">
        <v>8</v>
      </c>
    </row>
    <row r="1813" spans="1:6" ht="18" customHeight="1">
      <c r="A1813" s="4" t="s">
        <v>48</v>
      </c>
      <c r="B1813" s="4" t="str">
        <f>"2020011023"</f>
        <v>2020011023</v>
      </c>
      <c r="C1813" s="5">
        <v>0</v>
      </c>
      <c r="D1813" s="6">
        <v>0</v>
      </c>
      <c r="E1813" s="7">
        <f t="shared" si="28"/>
        <v>0</v>
      </c>
      <c r="F1813" s="9" t="s">
        <v>8</v>
      </c>
    </row>
    <row r="1814" spans="1:6" ht="18" customHeight="1">
      <c r="A1814" s="4" t="s">
        <v>48</v>
      </c>
      <c r="B1814" s="4" t="str">
        <f>"2020012419"</f>
        <v>2020012419</v>
      </c>
      <c r="C1814" s="5">
        <v>0</v>
      </c>
      <c r="D1814" s="6">
        <v>0</v>
      </c>
      <c r="E1814" s="7">
        <f t="shared" si="28"/>
        <v>0</v>
      </c>
      <c r="F1814" s="9" t="s">
        <v>8</v>
      </c>
    </row>
    <row r="1815" spans="1:6" ht="18" customHeight="1">
      <c r="A1815" s="4" t="s">
        <v>48</v>
      </c>
      <c r="B1815" s="4" t="str">
        <f>"2020020712"</f>
        <v>2020020712</v>
      </c>
      <c r="C1815" s="5">
        <v>0</v>
      </c>
      <c r="D1815" s="6">
        <v>0</v>
      </c>
      <c r="E1815" s="7">
        <f t="shared" si="28"/>
        <v>0</v>
      </c>
      <c r="F1815" s="8" t="s">
        <v>8</v>
      </c>
    </row>
    <row r="1816" spans="1:6" ht="18" customHeight="1">
      <c r="A1816" s="4" t="s">
        <v>48</v>
      </c>
      <c r="B1816" s="4" t="str">
        <f>"2020020810"</f>
        <v>2020020810</v>
      </c>
      <c r="C1816" s="5">
        <v>0</v>
      </c>
      <c r="D1816" s="6">
        <v>0</v>
      </c>
      <c r="E1816" s="7">
        <f t="shared" si="28"/>
        <v>0</v>
      </c>
      <c r="F1816" s="8" t="s">
        <v>8</v>
      </c>
    </row>
    <row r="1817" spans="1:6" ht="18" customHeight="1">
      <c r="A1817" s="4" t="s">
        <v>48</v>
      </c>
      <c r="B1817" s="4" t="str">
        <f>"2020021314"</f>
        <v>2020021314</v>
      </c>
      <c r="C1817" s="5">
        <v>0</v>
      </c>
      <c r="D1817" s="6">
        <v>0</v>
      </c>
      <c r="E1817" s="7">
        <f t="shared" si="28"/>
        <v>0</v>
      </c>
      <c r="F1817" s="8" t="s">
        <v>8</v>
      </c>
    </row>
    <row r="1818" spans="1:6" ht="18" customHeight="1">
      <c r="A1818" s="4" t="s">
        <v>48</v>
      </c>
      <c r="B1818" s="4" t="str">
        <f>"2020021713"</f>
        <v>2020021713</v>
      </c>
      <c r="C1818" s="5">
        <v>0</v>
      </c>
      <c r="D1818" s="6">
        <v>0</v>
      </c>
      <c r="E1818" s="7">
        <f t="shared" si="28"/>
        <v>0</v>
      </c>
      <c r="F1818" s="8" t="s">
        <v>8</v>
      </c>
    </row>
    <row r="1819" spans="1:6" ht="18" customHeight="1">
      <c r="A1819" s="4" t="s">
        <v>48</v>
      </c>
      <c r="B1819" s="4" t="str">
        <f>"2020021905"</f>
        <v>2020021905</v>
      </c>
      <c r="C1819" s="5">
        <v>0</v>
      </c>
      <c r="D1819" s="6">
        <v>0</v>
      </c>
      <c r="E1819" s="7">
        <f t="shared" si="28"/>
        <v>0</v>
      </c>
      <c r="F1819" s="8" t="s">
        <v>8</v>
      </c>
    </row>
    <row r="1820" spans="1:6" ht="18" customHeight="1">
      <c r="A1820" s="4" t="s">
        <v>48</v>
      </c>
      <c r="B1820" s="4" t="str">
        <f>"2020024227"</f>
        <v>2020024227</v>
      </c>
      <c r="C1820" s="5">
        <v>0</v>
      </c>
      <c r="D1820" s="6">
        <v>0</v>
      </c>
      <c r="E1820" s="7">
        <f t="shared" si="28"/>
        <v>0</v>
      </c>
      <c r="F1820" s="8" t="s">
        <v>8</v>
      </c>
    </row>
    <row r="1821" spans="1:6" ht="18" customHeight="1">
      <c r="A1821" s="4" t="s">
        <v>48</v>
      </c>
      <c r="B1821" s="4" t="str">
        <f>"2020024718"</f>
        <v>2020024718</v>
      </c>
      <c r="C1821" s="5">
        <v>0</v>
      </c>
      <c r="D1821" s="6">
        <v>0</v>
      </c>
      <c r="E1821" s="7">
        <f t="shared" si="28"/>
        <v>0</v>
      </c>
      <c r="F1821" s="8" t="s">
        <v>8</v>
      </c>
    </row>
    <row r="1822" spans="1:6" ht="18" customHeight="1">
      <c r="A1822" s="4" t="s">
        <v>48</v>
      </c>
      <c r="B1822" s="4" t="str">
        <f>"2020031004"</f>
        <v>2020031004</v>
      </c>
      <c r="C1822" s="5">
        <v>0</v>
      </c>
      <c r="D1822" s="6">
        <v>0</v>
      </c>
      <c r="E1822" s="7">
        <f t="shared" si="28"/>
        <v>0</v>
      </c>
      <c r="F1822" s="8" t="s">
        <v>8</v>
      </c>
    </row>
    <row r="1823" spans="1:6" ht="18" customHeight="1">
      <c r="A1823" s="4" t="s">
        <v>48</v>
      </c>
      <c r="B1823" s="4" t="str">
        <f>"2020032214"</f>
        <v>2020032214</v>
      </c>
      <c r="C1823" s="5">
        <v>0</v>
      </c>
      <c r="D1823" s="6">
        <v>0</v>
      </c>
      <c r="E1823" s="7">
        <f t="shared" si="28"/>
        <v>0</v>
      </c>
      <c r="F1823" s="8" t="s">
        <v>8</v>
      </c>
    </row>
    <row r="1824" spans="1:6" ht="18" customHeight="1">
      <c r="A1824" s="4" t="s">
        <v>48</v>
      </c>
      <c r="B1824" s="4" t="str">
        <f>"2020033515"</f>
        <v>2020033515</v>
      </c>
      <c r="C1824" s="5">
        <v>0</v>
      </c>
      <c r="D1824" s="6">
        <v>0</v>
      </c>
      <c r="E1824" s="7">
        <f t="shared" si="28"/>
        <v>0</v>
      </c>
      <c r="F1824" s="8" t="s">
        <v>8</v>
      </c>
    </row>
    <row r="1825" spans="1:6" ht="18" customHeight="1">
      <c r="A1825" s="4" t="s">
        <v>48</v>
      </c>
      <c r="B1825" s="4" t="str">
        <f>"2020034004"</f>
        <v>2020034004</v>
      </c>
      <c r="C1825" s="5">
        <v>0</v>
      </c>
      <c r="D1825" s="6">
        <v>0</v>
      </c>
      <c r="E1825" s="7">
        <f t="shared" si="28"/>
        <v>0</v>
      </c>
      <c r="F1825" s="8" t="s">
        <v>8</v>
      </c>
    </row>
    <row r="1826" spans="1:6" ht="18" customHeight="1">
      <c r="A1826" s="4" t="s">
        <v>48</v>
      </c>
      <c r="B1826" s="4" t="str">
        <f>"2020040419"</f>
        <v>2020040419</v>
      </c>
      <c r="C1826" s="5">
        <v>0</v>
      </c>
      <c r="D1826" s="6">
        <v>0</v>
      </c>
      <c r="E1826" s="7">
        <f t="shared" si="28"/>
        <v>0</v>
      </c>
      <c r="F1826" s="8" t="s">
        <v>8</v>
      </c>
    </row>
    <row r="1827" spans="1:6" ht="18" customHeight="1">
      <c r="A1827" s="4" t="s">
        <v>48</v>
      </c>
      <c r="B1827" s="4" t="str">
        <f>"2020040713"</f>
        <v>2020040713</v>
      </c>
      <c r="C1827" s="5">
        <v>0</v>
      </c>
      <c r="D1827" s="6">
        <v>0</v>
      </c>
      <c r="E1827" s="7">
        <f t="shared" si="28"/>
        <v>0</v>
      </c>
      <c r="F1827" s="8" t="s">
        <v>8</v>
      </c>
    </row>
    <row r="1828" spans="1:6" ht="18" customHeight="1">
      <c r="A1828" s="4" t="s">
        <v>48</v>
      </c>
      <c r="B1828" s="4" t="str">
        <f>"2020041920"</f>
        <v>2020041920</v>
      </c>
      <c r="C1828" s="5">
        <v>0</v>
      </c>
      <c r="D1828" s="6">
        <v>0</v>
      </c>
      <c r="E1828" s="7">
        <f t="shared" si="28"/>
        <v>0</v>
      </c>
      <c r="F1828" s="8" t="s">
        <v>8</v>
      </c>
    </row>
    <row r="1829" spans="1:6" ht="18" customHeight="1">
      <c r="A1829" s="4" t="s">
        <v>48</v>
      </c>
      <c r="B1829" s="4" t="str">
        <f>"2020045103"</f>
        <v>2020045103</v>
      </c>
      <c r="C1829" s="5">
        <v>0</v>
      </c>
      <c r="D1829" s="6">
        <v>0</v>
      </c>
      <c r="E1829" s="7">
        <f t="shared" si="28"/>
        <v>0</v>
      </c>
      <c r="F1829" s="8" t="s">
        <v>8</v>
      </c>
    </row>
    <row r="1830" spans="1:6" ht="18" customHeight="1">
      <c r="A1830" s="4" t="s">
        <v>48</v>
      </c>
      <c r="B1830" s="4" t="str">
        <f>"2020045426"</f>
        <v>2020045426</v>
      </c>
      <c r="C1830" s="5">
        <v>0</v>
      </c>
      <c r="D1830" s="6">
        <v>0</v>
      </c>
      <c r="E1830" s="7">
        <f t="shared" si="28"/>
        <v>0</v>
      </c>
      <c r="F1830" s="8" t="s">
        <v>8</v>
      </c>
    </row>
    <row r="1831" spans="1:6" ht="18" customHeight="1">
      <c r="A1831" s="4" t="s">
        <v>48</v>
      </c>
      <c r="B1831" s="4" t="str">
        <f>"2020046923"</f>
        <v>2020046923</v>
      </c>
      <c r="C1831" s="5">
        <v>0</v>
      </c>
      <c r="D1831" s="6">
        <v>0</v>
      </c>
      <c r="E1831" s="7">
        <f t="shared" si="28"/>
        <v>0</v>
      </c>
      <c r="F1831" s="8" t="s">
        <v>8</v>
      </c>
    </row>
    <row r="1832" spans="1:6" ht="18" customHeight="1">
      <c r="A1832" s="4" t="s">
        <v>48</v>
      </c>
      <c r="B1832" s="4" t="str">
        <f>"2020047002"</f>
        <v>2020047002</v>
      </c>
      <c r="C1832" s="5">
        <v>0</v>
      </c>
      <c r="D1832" s="6">
        <v>0</v>
      </c>
      <c r="E1832" s="7">
        <f t="shared" si="28"/>
        <v>0</v>
      </c>
      <c r="F1832" s="8" t="s">
        <v>8</v>
      </c>
    </row>
    <row r="1833" spans="1:6" ht="18" customHeight="1">
      <c r="A1833" s="4" t="s">
        <v>48</v>
      </c>
      <c r="B1833" s="4" t="str">
        <f>"2020047511"</f>
        <v>2020047511</v>
      </c>
      <c r="C1833" s="5">
        <v>0</v>
      </c>
      <c r="D1833" s="6">
        <v>0</v>
      </c>
      <c r="E1833" s="7">
        <f t="shared" si="28"/>
        <v>0</v>
      </c>
      <c r="F1833" s="8" t="s">
        <v>8</v>
      </c>
    </row>
    <row r="1834" spans="1:6" ht="18" customHeight="1">
      <c r="A1834" s="4" t="s">
        <v>49</v>
      </c>
      <c r="B1834" s="4" t="str">
        <f>"2020031024"</f>
        <v>2020031024</v>
      </c>
      <c r="C1834" s="5">
        <v>80.2</v>
      </c>
      <c r="D1834" s="6">
        <v>79</v>
      </c>
      <c r="E1834" s="7">
        <f t="shared" si="28"/>
        <v>159.19999999999999</v>
      </c>
      <c r="F1834" s="8"/>
    </row>
    <row r="1835" spans="1:6" ht="18" customHeight="1">
      <c r="A1835" s="4" t="s">
        <v>49</v>
      </c>
      <c r="B1835" s="4" t="str">
        <f>"2020040529"</f>
        <v>2020040529</v>
      </c>
      <c r="C1835" s="5">
        <v>81.900000000000006</v>
      </c>
      <c r="D1835" s="6">
        <v>76.5</v>
      </c>
      <c r="E1835" s="7">
        <f t="shared" si="28"/>
        <v>158.4</v>
      </c>
      <c r="F1835" s="8"/>
    </row>
    <row r="1836" spans="1:6" ht="18" customHeight="1">
      <c r="A1836" s="4" t="s">
        <v>49</v>
      </c>
      <c r="B1836" s="4" t="str">
        <f>"2020047209"</f>
        <v>2020047209</v>
      </c>
      <c r="C1836" s="5">
        <v>68.5</v>
      </c>
      <c r="D1836" s="6">
        <v>85</v>
      </c>
      <c r="E1836" s="7">
        <f t="shared" si="28"/>
        <v>153.5</v>
      </c>
      <c r="F1836" s="8"/>
    </row>
    <row r="1837" spans="1:6" ht="18" customHeight="1">
      <c r="A1837" s="4" t="s">
        <v>49</v>
      </c>
      <c r="B1837" s="4" t="str">
        <f>"2020023403"</f>
        <v>2020023403</v>
      </c>
      <c r="C1837" s="5">
        <v>74.900000000000006</v>
      </c>
      <c r="D1837" s="6">
        <v>76</v>
      </c>
      <c r="E1837" s="7">
        <f t="shared" si="28"/>
        <v>150.9</v>
      </c>
      <c r="F1837" s="8"/>
    </row>
    <row r="1838" spans="1:6" ht="18" customHeight="1">
      <c r="A1838" s="4" t="s">
        <v>49</v>
      </c>
      <c r="B1838" s="4" t="str">
        <f>"2020031830"</f>
        <v>2020031830</v>
      </c>
      <c r="C1838" s="5">
        <v>70.099999999999994</v>
      </c>
      <c r="D1838" s="6">
        <v>79.5</v>
      </c>
      <c r="E1838" s="7">
        <f t="shared" si="28"/>
        <v>149.6</v>
      </c>
      <c r="F1838" s="8"/>
    </row>
    <row r="1839" spans="1:6" ht="18" customHeight="1">
      <c r="A1839" s="4" t="s">
        <v>49</v>
      </c>
      <c r="B1839" s="4" t="str">
        <f>"2020044405"</f>
        <v>2020044405</v>
      </c>
      <c r="C1839" s="5">
        <v>70</v>
      </c>
      <c r="D1839" s="6">
        <v>79</v>
      </c>
      <c r="E1839" s="7">
        <f t="shared" si="28"/>
        <v>149</v>
      </c>
      <c r="F1839" s="8"/>
    </row>
    <row r="1840" spans="1:6" ht="18" customHeight="1">
      <c r="A1840" s="4" t="s">
        <v>49</v>
      </c>
      <c r="B1840" s="4" t="str">
        <f>"2020023323"</f>
        <v>2020023323</v>
      </c>
      <c r="C1840" s="5">
        <v>71.3</v>
      </c>
      <c r="D1840" s="6">
        <v>77.5</v>
      </c>
      <c r="E1840" s="7">
        <f t="shared" si="28"/>
        <v>148.80000000000001</v>
      </c>
      <c r="F1840" s="8"/>
    </row>
    <row r="1841" spans="1:6" ht="18" customHeight="1">
      <c r="A1841" s="4" t="s">
        <v>49</v>
      </c>
      <c r="B1841" s="4" t="str">
        <f>"2020040525"</f>
        <v>2020040525</v>
      </c>
      <c r="C1841" s="5">
        <v>75.900000000000006</v>
      </c>
      <c r="D1841" s="6">
        <v>70</v>
      </c>
      <c r="E1841" s="7">
        <f t="shared" si="28"/>
        <v>145.9</v>
      </c>
      <c r="F1841" s="8"/>
    </row>
    <row r="1842" spans="1:6" ht="18" customHeight="1">
      <c r="A1842" s="4" t="s">
        <v>49</v>
      </c>
      <c r="B1842" s="4" t="str">
        <f>"2020040702"</f>
        <v>2020040702</v>
      </c>
      <c r="C1842" s="5">
        <v>72.8</v>
      </c>
      <c r="D1842" s="6">
        <v>70.5</v>
      </c>
      <c r="E1842" s="7">
        <f t="shared" si="28"/>
        <v>143.30000000000001</v>
      </c>
      <c r="F1842" s="8"/>
    </row>
    <row r="1843" spans="1:6" ht="18" customHeight="1">
      <c r="A1843" s="4" t="s">
        <v>49</v>
      </c>
      <c r="B1843" s="4" t="str">
        <f>"2020013709"</f>
        <v>2020013709</v>
      </c>
      <c r="C1843" s="5">
        <v>62.9</v>
      </c>
      <c r="D1843" s="6">
        <v>76</v>
      </c>
      <c r="E1843" s="7">
        <f t="shared" si="28"/>
        <v>138.9</v>
      </c>
      <c r="F1843" s="8"/>
    </row>
    <row r="1844" spans="1:6" ht="18" customHeight="1">
      <c r="A1844" s="4" t="s">
        <v>49</v>
      </c>
      <c r="B1844" s="4" t="str">
        <f>"2020021011"</f>
        <v>2020021011</v>
      </c>
      <c r="C1844" s="5">
        <v>64.2</v>
      </c>
      <c r="D1844" s="6">
        <v>74</v>
      </c>
      <c r="E1844" s="7">
        <f t="shared" si="28"/>
        <v>138.19999999999999</v>
      </c>
      <c r="F1844" s="8"/>
    </row>
    <row r="1845" spans="1:6" ht="18" customHeight="1">
      <c r="A1845" s="4" t="s">
        <v>49</v>
      </c>
      <c r="B1845" s="4" t="str">
        <f>"2020042307"</f>
        <v>2020042307</v>
      </c>
      <c r="C1845" s="5">
        <v>70.400000000000006</v>
      </c>
      <c r="D1845" s="6">
        <v>60</v>
      </c>
      <c r="E1845" s="7">
        <f t="shared" si="28"/>
        <v>130.4</v>
      </c>
      <c r="F1845" s="8"/>
    </row>
    <row r="1846" spans="1:6" ht="18" customHeight="1">
      <c r="A1846" s="4" t="s">
        <v>49</v>
      </c>
      <c r="B1846" s="4" t="str">
        <f>"2020040519"</f>
        <v>2020040519</v>
      </c>
      <c r="C1846" s="5">
        <v>64.2</v>
      </c>
      <c r="D1846" s="6">
        <v>63</v>
      </c>
      <c r="E1846" s="7">
        <f t="shared" si="28"/>
        <v>127.2</v>
      </c>
      <c r="F1846" s="8"/>
    </row>
    <row r="1847" spans="1:6" ht="18" customHeight="1">
      <c r="A1847" s="4" t="s">
        <v>49</v>
      </c>
      <c r="B1847" s="4" t="str">
        <f>"2020033006"</f>
        <v>2020033006</v>
      </c>
      <c r="C1847" s="5">
        <v>68.099999999999994</v>
      </c>
      <c r="D1847" s="6">
        <v>53</v>
      </c>
      <c r="E1847" s="7">
        <f t="shared" si="28"/>
        <v>121.1</v>
      </c>
      <c r="F1847" s="8"/>
    </row>
    <row r="1848" spans="1:6" ht="18" customHeight="1">
      <c r="A1848" s="4" t="s">
        <v>49</v>
      </c>
      <c r="B1848" s="4" t="str">
        <f>"2020012615"</f>
        <v>2020012615</v>
      </c>
      <c r="C1848" s="5">
        <v>0</v>
      </c>
      <c r="D1848" s="6">
        <v>0</v>
      </c>
      <c r="E1848" s="7">
        <f t="shared" si="28"/>
        <v>0</v>
      </c>
      <c r="F1848" s="9" t="s">
        <v>8</v>
      </c>
    </row>
    <row r="1849" spans="1:6" ht="18" customHeight="1">
      <c r="A1849" s="4" t="s">
        <v>50</v>
      </c>
      <c r="B1849" s="4" t="str">
        <f>"2020046029"</f>
        <v>2020046029</v>
      </c>
      <c r="C1849" s="5">
        <v>74.7</v>
      </c>
      <c r="D1849" s="6">
        <v>85</v>
      </c>
      <c r="E1849" s="7">
        <f t="shared" si="28"/>
        <v>159.69999999999999</v>
      </c>
      <c r="F1849" s="8"/>
    </row>
    <row r="1850" spans="1:6" ht="18" customHeight="1">
      <c r="A1850" s="4" t="s">
        <v>50</v>
      </c>
      <c r="B1850" s="4" t="str">
        <f>"2020047225"</f>
        <v>2020047225</v>
      </c>
      <c r="C1850" s="5">
        <v>73.5</v>
      </c>
      <c r="D1850" s="6">
        <v>85</v>
      </c>
      <c r="E1850" s="7">
        <f t="shared" si="28"/>
        <v>158.5</v>
      </c>
      <c r="F1850" s="8"/>
    </row>
    <row r="1851" spans="1:6" ht="18" customHeight="1">
      <c r="A1851" s="4" t="s">
        <v>50</v>
      </c>
      <c r="B1851" s="4" t="str">
        <f>"2020045407"</f>
        <v>2020045407</v>
      </c>
      <c r="C1851" s="5">
        <v>76.3</v>
      </c>
      <c r="D1851" s="6">
        <v>77</v>
      </c>
      <c r="E1851" s="7">
        <f t="shared" si="28"/>
        <v>153.30000000000001</v>
      </c>
      <c r="F1851" s="8"/>
    </row>
    <row r="1852" spans="1:6" ht="18" customHeight="1">
      <c r="A1852" s="4" t="s">
        <v>50</v>
      </c>
      <c r="B1852" s="4" t="str">
        <f>"2020024004"</f>
        <v>2020024004</v>
      </c>
      <c r="C1852" s="5">
        <v>77.900000000000006</v>
      </c>
      <c r="D1852" s="6">
        <v>75</v>
      </c>
      <c r="E1852" s="7">
        <f t="shared" si="28"/>
        <v>152.9</v>
      </c>
      <c r="F1852" s="8"/>
    </row>
    <row r="1853" spans="1:6" ht="18" customHeight="1">
      <c r="A1853" s="4" t="s">
        <v>50</v>
      </c>
      <c r="B1853" s="4" t="str">
        <f>"2020040627"</f>
        <v>2020040627</v>
      </c>
      <c r="C1853" s="5">
        <v>69.900000000000006</v>
      </c>
      <c r="D1853" s="6">
        <v>81</v>
      </c>
      <c r="E1853" s="7">
        <f t="shared" si="28"/>
        <v>150.9</v>
      </c>
      <c r="F1853" s="8"/>
    </row>
    <row r="1854" spans="1:6" ht="18" customHeight="1">
      <c r="A1854" s="4" t="s">
        <v>50</v>
      </c>
      <c r="B1854" s="4" t="str">
        <f>"2020033609"</f>
        <v>2020033609</v>
      </c>
      <c r="C1854" s="5">
        <v>78.7</v>
      </c>
      <c r="D1854" s="6">
        <v>70.5</v>
      </c>
      <c r="E1854" s="7">
        <f t="shared" si="28"/>
        <v>149.19999999999999</v>
      </c>
      <c r="F1854" s="8"/>
    </row>
    <row r="1855" spans="1:6" ht="18" customHeight="1">
      <c r="A1855" s="4" t="s">
        <v>50</v>
      </c>
      <c r="B1855" s="4" t="str">
        <f>"2020044603"</f>
        <v>2020044603</v>
      </c>
      <c r="C1855" s="5">
        <v>68.2</v>
      </c>
      <c r="D1855" s="6">
        <v>80.5</v>
      </c>
      <c r="E1855" s="7">
        <f t="shared" si="28"/>
        <v>148.69999999999999</v>
      </c>
      <c r="F1855" s="8"/>
    </row>
    <row r="1856" spans="1:6" ht="18" customHeight="1">
      <c r="A1856" s="4" t="s">
        <v>50</v>
      </c>
      <c r="B1856" s="4" t="str">
        <f>"2020010130"</f>
        <v>2020010130</v>
      </c>
      <c r="C1856" s="5">
        <v>75</v>
      </c>
      <c r="D1856" s="6">
        <v>71.5</v>
      </c>
      <c r="E1856" s="7">
        <f t="shared" si="28"/>
        <v>146.5</v>
      </c>
      <c r="F1856" s="8"/>
    </row>
    <row r="1857" spans="1:6" ht="18" customHeight="1">
      <c r="A1857" s="4" t="s">
        <v>50</v>
      </c>
      <c r="B1857" s="4" t="str">
        <f>"2020022926"</f>
        <v>2020022926</v>
      </c>
      <c r="C1857" s="5">
        <v>77.599999999999994</v>
      </c>
      <c r="D1857" s="6">
        <v>68.5</v>
      </c>
      <c r="E1857" s="7">
        <f t="shared" si="28"/>
        <v>146.1</v>
      </c>
      <c r="F1857" s="8"/>
    </row>
    <row r="1858" spans="1:6" ht="18" customHeight="1">
      <c r="A1858" s="4" t="s">
        <v>50</v>
      </c>
      <c r="B1858" s="4" t="str">
        <f>"2020032520"</f>
        <v>2020032520</v>
      </c>
      <c r="C1858" s="5">
        <v>72.099999999999994</v>
      </c>
      <c r="D1858" s="6">
        <v>73.5</v>
      </c>
      <c r="E1858" s="7">
        <f t="shared" si="28"/>
        <v>145.6</v>
      </c>
      <c r="F1858" s="8"/>
    </row>
    <row r="1859" spans="1:6" ht="18" customHeight="1">
      <c r="A1859" s="4" t="s">
        <v>50</v>
      </c>
      <c r="B1859" s="4" t="str">
        <f>"2020020721"</f>
        <v>2020020721</v>
      </c>
      <c r="C1859" s="5">
        <v>65.099999999999994</v>
      </c>
      <c r="D1859" s="6">
        <v>80.5</v>
      </c>
      <c r="E1859" s="7">
        <f t="shared" ref="E1859:E1922" si="29">SUM(C1859:D1859)</f>
        <v>145.6</v>
      </c>
      <c r="F1859" s="8"/>
    </row>
    <row r="1860" spans="1:6" ht="18" customHeight="1">
      <c r="A1860" s="4" t="s">
        <v>50</v>
      </c>
      <c r="B1860" s="4" t="str">
        <f>"2020032404"</f>
        <v>2020032404</v>
      </c>
      <c r="C1860" s="5">
        <v>70.400000000000006</v>
      </c>
      <c r="D1860" s="6">
        <v>75</v>
      </c>
      <c r="E1860" s="7">
        <f t="shared" si="29"/>
        <v>145.4</v>
      </c>
      <c r="F1860" s="8"/>
    </row>
    <row r="1861" spans="1:6" ht="18" customHeight="1">
      <c r="A1861" s="4" t="s">
        <v>50</v>
      </c>
      <c r="B1861" s="4" t="str">
        <f>"2020031017"</f>
        <v>2020031017</v>
      </c>
      <c r="C1861" s="5">
        <v>67.900000000000006</v>
      </c>
      <c r="D1861" s="6">
        <v>76.5</v>
      </c>
      <c r="E1861" s="7">
        <f t="shared" si="29"/>
        <v>144.4</v>
      </c>
      <c r="F1861" s="8"/>
    </row>
    <row r="1862" spans="1:6" ht="18" customHeight="1">
      <c r="A1862" s="4" t="s">
        <v>50</v>
      </c>
      <c r="B1862" s="4" t="str">
        <f>"2020022927"</f>
        <v>2020022927</v>
      </c>
      <c r="C1862" s="5">
        <v>71.5</v>
      </c>
      <c r="D1862" s="6">
        <v>71</v>
      </c>
      <c r="E1862" s="7">
        <f t="shared" si="29"/>
        <v>142.5</v>
      </c>
      <c r="F1862" s="8"/>
    </row>
    <row r="1863" spans="1:6" ht="18" customHeight="1">
      <c r="A1863" s="4" t="s">
        <v>50</v>
      </c>
      <c r="B1863" s="4" t="str">
        <f>"2020032429"</f>
        <v>2020032429</v>
      </c>
      <c r="C1863" s="5">
        <v>73.099999999999994</v>
      </c>
      <c r="D1863" s="6">
        <v>67.5</v>
      </c>
      <c r="E1863" s="7">
        <f t="shared" si="29"/>
        <v>140.6</v>
      </c>
      <c r="F1863" s="8"/>
    </row>
    <row r="1864" spans="1:6" ht="18" customHeight="1">
      <c r="A1864" s="4" t="s">
        <v>50</v>
      </c>
      <c r="B1864" s="4" t="str">
        <f>"2020046419"</f>
        <v>2020046419</v>
      </c>
      <c r="C1864" s="5">
        <v>66.900000000000006</v>
      </c>
      <c r="D1864" s="6">
        <v>72.5</v>
      </c>
      <c r="E1864" s="7">
        <f t="shared" si="29"/>
        <v>139.4</v>
      </c>
      <c r="F1864" s="8"/>
    </row>
    <row r="1865" spans="1:6" ht="18" customHeight="1">
      <c r="A1865" s="4" t="s">
        <v>50</v>
      </c>
      <c r="B1865" s="4" t="str">
        <f>"2020011016"</f>
        <v>2020011016</v>
      </c>
      <c r="C1865" s="5">
        <v>62.1</v>
      </c>
      <c r="D1865" s="6">
        <v>76.5</v>
      </c>
      <c r="E1865" s="7">
        <f t="shared" si="29"/>
        <v>138.6</v>
      </c>
      <c r="F1865" s="8"/>
    </row>
    <row r="1866" spans="1:6" ht="18" customHeight="1">
      <c r="A1866" s="4" t="s">
        <v>50</v>
      </c>
      <c r="B1866" s="4" t="str">
        <f>"2020022325"</f>
        <v>2020022325</v>
      </c>
      <c r="C1866" s="5">
        <v>61.3</v>
      </c>
      <c r="D1866" s="6">
        <v>77</v>
      </c>
      <c r="E1866" s="7">
        <f t="shared" si="29"/>
        <v>138.30000000000001</v>
      </c>
      <c r="F1866" s="8"/>
    </row>
    <row r="1867" spans="1:6" ht="18" customHeight="1">
      <c r="A1867" s="4" t="s">
        <v>50</v>
      </c>
      <c r="B1867" s="4" t="str">
        <f>"2020033901"</f>
        <v>2020033901</v>
      </c>
      <c r="C1867" s="5">
        <v>67.400000000000006</v>
      </c>
      <c r="D1867" s="6">
        <v>70.5</v>
      </c>
      <c r="E1867" s="7">
        <f t="shared" si="29"/>
        <v>137.9</v>
      </c>
      <c r="F1867" s="8"/>
    </row>
    <row r="1868" spans="1:6" ht="18" customHeight="1">
      <c r="A1868" s="4" t="s">
        <v>50</v>
      </c>
      <c r="B1868" s="4" t="str">
        <f>"2020024321"</f>
        <v>2020024321</v>
      </c>
      <c r="C1868" s="5">
        <v>70.7</v>
      </c>
      <c r="D1868" s="6">
        <v>65.5</v>
      </c>
      <c r="E1868" s="7">
        <f t="shared" si="29"/>
        <v>136.19999999999999</v>
      </c>
      <c r="F1868" s="8"/>
    </row>
    <row r="1869" spans="1:6" ht="18" customHeight="1">
      <c r="A1869" s="4" t="s">
        <v>50</v>
      </c>
      <c r="B1869" s="4" t="str">
        <f>"2020031428"</f>
        <v>2020031428</v>
      </c>
      <c r="C1869" s="5">
        <v>73.900000000000006</v>
      </c>
      <c r="D1869" s="6">
        <v>61.5</v>
      </c>
      <c r="E1869" s="7">
        <f t="shared" si="29"/>
        <v>135.4</v>
      </c>
      <c r="F1869" s="8"/>
    </row>
    <row r="1870" spans="1:6" ht="18" customHeight="1">
      <c r="A1870" s="4" t="s">
        <v>50</v>
      </c>
      <c r="B1870" s="4" t="str">
        <f>"2020021223"</f>
        <v>2020021223</v>
      </c>
      <c r="C1870" s="5">
        <v>68.7</v>
      </c>
      <c r="D1870" s="6">
        <v>66.5</v>
      </c>
      <c r="E1870" s="7">
        <f t="shared" si="29"/>
        <v>135.19999999999999</v>
      </c>
      <c r="F1870" s="8"/>
    </row>
    <row r="1871" spans="1:6" ht="18" customHeight="1">
      <c r="A1871" s="4" t="s">
        <v>50</v>
      </c>
      <c r="B1871" s="4" t="str">
        <f>"2020041909"</f>
        <v>2020041909</v>
      </c>
      <c r="C1871" s="5">
        <v>68.5</v>
      </c>
      <c r="D1871" s="6">
        <v>66.5</v>
      </c>
      <c r="E1871" s="7">
        <f t="shared" si="29"/>
        <v>135</v>
      </c>
      <c r="F1871" s="8"/>
    </row>
    <row r="1872" spans="1:6" ht="18" customHeight="1">
      <c r="A1872" s="4" t="s">
        <v>50</v>
      </c>
      <c r="B1872" s="4" t="str">
        <f>"2020043227"</f>
        <v>2020043227</v>
      </c>
      <c r="C1872" s="5">
        <v>70.900000000000006</v>
      </c>
      <c r="D1872" s="6">
        <v>62.5</v>
      </c>
      <c r="E1872" s="7">
        <f t="shared" si="29"/>
        <v>133.4</v>
      </c>
      <c r="F1872" s="8"/>
    </row>
    <row r="1873" spans="1:6" ht="18" customHeight="1">
      <c r="A1873" s="4" t="s">
        <v>50</v>
      </c>
      <c r="B1873" s="4" t="str">
        <f>"2020011604"</f>
        <v>2020011604</v>
      </c>
      <c r="C1873" s="5">
        <v>65.900000000000006</v>
      </c>
      <c r="D1873" s="6">
        <v>66.5</v>
      </c>
      <c r="E1873" s="7">
        <f t="shared" si="29"/>
        <v>132.4</v>
      </c>
      <c r="F1873" s="8"/>
    </row>
    <row r="1874" spans="1:6" ht="18" customHeight="1">
      <c r="A1874" s="4" t="s">
        <v>50</v>
      </c>
      <c r="B1874" s="4" t="str">
        <f>"2020041208"</f>
        <v>2020041208</v>
      </c>
      <c r="C1874" s="5">
        <v>60.4</v>
      </c>
      <c r="D1874" s="6">
        <v>65.5</v>
      </c>
      <c r="E1874" s="7">
        <f t="shared" si="29"/>
        <v>125.9</v>
      </c>
      <c r="F1874" s="8"/>
    </row>
    <row r="1875" spans="1:6" ht="18" customHeight="1">
      <c r="A1875" s="4" t="s">
        <v>50</v>
      </c>
      <c r="B1875" s="4" t="str">
        <f>"2020043801"</f>
        <v>2020043801</v>
      </c>
      <c r="C1875" s="5">
        <v>60.7</v>
      </c>
      <c r="D1875" s="6">
        <v>64.5</v>
      </c>
      <c r="E1875" s="7">
        <f t="shared" si="29"/>
        <v>125.2</v>
      </c>
      <c r="F1875" s="8"/>
    </row>
    <row r="1876" spans="1:6" ht="18" customHeight="1">
      <c r="A1876" s="4" t="s">
        <v>50</v>
      </c>
      <c r="B1876" s="4" t="str">
        <f>"2020012828"</f>
        <v>2020012828</v>
      </c>
      <c r="C1876" s="5">
        <v>0</v>
      </c>
      <c r="D1876" s="6">
        <v>0</v>
      </c>
      <c r="E1876" s="7">
        <f t="shared" si="29"/>
        <v>0</v>
      </c>
      <c r="F1876" s="9" t="s">
        <v>8</v>
      </c>
    </row>
    <row r="1877" spans="1:6" ht="18" customHeight="1">
      <c r="A1877" s="4" t="s">
        <v>50</v>
      </c>
      <c r="B1877" s="4" t="str">
        <f>"2020013022"</f>
        <v>2020013022</v>
      </c>
      <c r="C1877" s="5">
        <v>0</v>
      </c>
      <c r="D1877" s="6">
        <v>0</v>
      </c>
      <c r="E1877" s="7">
        <f t="shared" si="29"/>
        <v>0</v>
      </c>
      <c r="F1877" s="9" t="s">
        <v>8</v>
      </c>
    </row>
    <row r="1878" spans="1:6" ht="18" customHeight="1">
      <c r="A1878" s="4" t="s">
        <v>50</v>
      </c>
      <c r="B1878" s="4" t="str">
        <f>"2020020229"</f>
        <v>2020020229</v>
      </c>
      <c r="C1878" s="5">
        <v>0</v>
      </c>
      <c r="D1878" s="6">
        <v>0</v>
      </c>
      <c r="E1878" s="7">
        <f t="shared" si="29"/>
        <v>0</v>
      </c>
      <c r="F1878" s="8" t="s">
        <v>8</v>
      </c>
    </row>
    <row r="1879" spans="1:6" ht="18" customHeight="1">
      <c r="A1879" s="4" t="s">
        <v>50</v>
      </c>
      <c r="B1879" s="4" t="str">
        <f>"2020024204"</f>
        <v>2020024204</v>
      </c>
      <c r="C1879" s="5">
        <v>0</v>
      </c>
      <c r="D1879" s="6">
        <v>0</v>
      </c>
      <c r="E1879" s="7">
        <f t="shared" si="29"/>
        <v>0</v>
      </c>
      <c r="F1879" s="8" t="s">
        <v>8</v>
      </c>
    </row>
    <row r="1880" spans="1:6" ht="18" customHeight="1">
      <c r="A1880" s="4" t="s">
        <v>50</v>
      </c>
      <c r="B1880" s="4" t="str">
        <f>"2020033007"</f>
        <v>2020033007</v>
      </c>
      <c r="C1880" s="5">
        <v>0</v>
      </c>
      <c r="D1880" s="6">
        <v>0</v>
      </c>
      <c r="E1880" s="7">
        <f t="shared" si="29"/>
        <v>0</v>
      </c>
      <c r="F1880" s="8" t="s">
        <v>8</v>
      </c>
    </row>
    <row r="1881" spans="1:6" ht="18" customHeight="1">
      <c r="A1881" s="4" t="s">
        <v>50</v>
      </c>
      <c r="B1881" s="4" t="str">
        <f>"2020044410"</f>
        <v>2020044410</v>
      </c>
      <c r="C1881" s="5">
        <v>0</v>
      </c>
      <c r="D1881" s="6">
        <v>0</v>
      </c>
      <c r="E1881" s="7">
        <f t="shared" si="29"/>
        <v>0</v>
      </c>
      <c r="F1881" s="8" t="s">
        <v>8</v>
      </c>
    </row>
    <row r="1882" spans="1:6" ht="18" customHeight="1">
      <c r="A1882" s="4" t="s">
        <v>51</v>
      </c>
      <c r="B1882" s="4" t="str">
        <f>"2020041929"</f>
        <v>2020041929</v>
      </c>
      <c r="C1882" s="5">
        <v>70.099999999999994</v>
      </c>
      <c r="D1882" s="6">
        <v>79.5</v>
      </c>
      <c r="E1882" s="7">
        <f t="shared" si="29"/>
        <v>149.6</v>
      </c>
      <c r="F1882" s="8"/>
    </row>
    <row r="1883" spans="1:6" ht="18" customHeight="1">
      <c r="A1883" s="4" t="s">
        <v>51</v>
      </c>
      <c r="B1883" s="4" t="str">
        <f>"2020047324"</f>
        <v>2020047324</v>
      </c>
      <c r="C1883" s="5">
        <v>69.2</v>
      </c>
      <c r="D1883" s="6">
        <v>79.5</v>
      </c>
      <c r="E1883" s="7">
        <f t="shared" si="29"/>
        <v>148.69999999999999</v>
      </c>
      <c r="F1883" s="8"/>
    </row>
    <row r="1884" spans="1:6" ht="18" customHeight="1">
      <c r="A1884" s="4" t="s">
        <v>51</v>
      </c>
      <c r="B1884" s="4" t="str">
        <f>"2020011427"</f>
        <v>2020011427</v>
      </c>
      <c r="C1884" s="5">
        <v>67.099999999999994</v>
      </c>
      <c r="D1884" s="6">
        <v>78</v>
      </c>
      <c r="E1884" s="7">
        <f t="shared" si="29"/>
        <v>145.1</v>
      </c>
      <c r="F1884" s="8"/>
    </row>
    <row r="1885" spans="1:6" ht="18" customHeight="1">
      <c r="A1885" s="4" t="s">
        <v>51</v>
      </c>
      <c r="B1885" s="4" t="str">
        <f>"2020033305"</f>
        <v>2020033305</v>
      </c>
      <c r="C1885" s="5">
        <v>70.599999999999994</v>
      </c>
      <c r="D1885" s="6">
        <v>73</v>
      </c>
      <c r="E1885" s="7">
        <f t="shared" si="29"/>
        <v>143.6</v>
      </c>
      <c r="F1885" s="8"/>
    </row>
    <row r="1886" spans="1:6" ht="18" customHeight="1">
      <c r="A1886" s="4" t="s">
        <v>51</v>
      </c>
      <c r="B1886" s="4" t="str">
        <f>"2020012714"</f>
        <v>2020012714</v>
      </c>
      <c r="C1886" s="5">
        <v>72.900000000000006</v>
      </c>
      <c r="D1886" s="6">
        <v>64</v>
      </c>
      <c r="E1886" s="7">
        <f t="shared" si="29"/>
        <v>136.9</v>
      </c>
      <c r="F1886" s="8"/>
    </row>
    <row r="1887" spans="1:6" ht="18" customHeight="1">
      <c r="A1887" s="4" t="s">
        <v>51</v>
      </c>
      <c r="B1887" s="4" t="str">
        <f>"2020011011"</f>
        <v>2020011011</v>
      </c>
      <c r="C1887" s="5">
        <v>0</v>
      </c>
      <c r="D1887" s="6">
        <v>0</v>
      </c>
      <c r="E1887" s="7">
        <f t="shared" si="29"/>
        <v>0</v>
      </c>
      <c r="F1887" s="9" t="s">
        <v>8</v>
      </c>
    </row>
    <row r="1888" spans="1:6" ht="18" customHeight="1">
      <c r="A1888" s="4" t="s">
        <v>51</v>
      </c>
      <c r="B1888" s="4" t="str">
        <f>"2020030811"</f>
        <v>2020030811</v>
      </c>
      <c r="C1888" s="5">
        <v>0</v>
      </c>
      <c r="D1888" s="6">
        <v>0</v>
      </c>
      <c r="E1888" s="7">
        <f t="shared" si="29"/>
        <v>0</v>
      </c>
      <c r="F1888" s="8" t="s">
        <v>8</v>
      </c>
    </row>
    <row r="1889" spans="1:6" ht="18" customHeight="1">
      <c r="A1889" s="4" t="s">
        <v>51</v>
      </c>
      <c r="B1889" s="4" t="str">
        <f>"2020033728"</f>
        <v>2020033728</v>
      </c>
      <c r="C1889" s="5">
        <v>0</v>
      </c>
      <c r="D1889" s="6">
        <v>0</v>
      </c>
      <c r="E1889" s="7">
        <f t="shared" si="29"/>
        <v>0</v>
      </c>
      <c r="F1889" s="8" t="s">
        <v>8</v>
      </c>
    </row>
    <row r="1890" spans="1:6" ht="18" customHeight="1">
      <c r="A1890" s="4" t="s">
        <v>51</v>
      </c>
      <c r="B1890" s="4" t="str">
        <f>"2020041302"</f>
        <v>2020041302</v>
      </c>
      <c r="C1890" s="5">
        <v>0</v>
      </c>
      <c r="D1890" s="6">
        <v>0</v>
      </c>
      <c r="E1890" s="7">
        <f t="shared" si="29"/>
        <v>0</v>
      </c>
      <c r="F1890" s="8" t="s">
        <v>8</v>
      </c>
    </row>
    <row r="1891" spans="1:6" ht="18" customHeight="1">
      <c r="A1891" s="4" t="s">
        <v>52</v>
      </c>
      <c r="B1891" s="4" t="str">
        <f>"2020022922"</f>
        <v>2020022922</v>
      </c>
      <c r="C1891" s="5">
        <v>68.599999999999994</v>
      </c>
      <c r="D1891" s="6">
        <v>72.5</v>
      </c>
      <c r="E1891" s="7">
        <f t="shared" si="29"/>
        <v>141.1</v>
      </c>
      <c r="F1891" s="8"/>
    </row>
    <row r="1892" spans="1:6" ht="18" customHeight="1">
      <c r="A1892" s="4" t="s">
        <v>52</v>
      </c>
      <c r="B1892" s="4" t="str">
        <f>"2020021623"</f>
        <v>2020021623</v>
      </c>
      <c r="C1892" s="5">
        <v>66.900000000000006</v>
      </c>
      <c r="D1892" s="6">
        <v>70.5</v>
      </c>
      <c r="E1892" s="7">
        <f t="shared" si="29"/>
        <v>137.4</v>
      </c>
      <c r="F1892" s="8"/>
    </row>
    <row r="1893" spans="1:6" ht="18" customHeight="1">
      <c r="A1893" s="4" t="s">
        <v>52</v>
      </c>
      <c r="B1893" s="4" t="str">
        <f>"2020042716"</f>
        <v>2020042716</v>
      </c>
      <c r="C1893" s="5">
        <v>71.8</v>
      </c>
      <c r="D1893" s="6">
        <v>61</v>
      </c>
      <c r="E1893" s="7">
        <f t="shared" si="29"/>
        <v>132.80000000000001</v>
      </c>
      <c r="F1893" s="8"/>
    </row>
    <row r="1894" spans="1:6" ht="18" customHeight="1">
      <c r="A1894" s="4" t="s">
        <v>52</v>
      </c>
      <c r="B1894" s="4" t="str">
        <f>"2020030219"</f>
        <v>2020030219</v>
      </c>
      <c r="C1894" s="5">
        <v>0</v>
      </c>
      <c r="D1894" s="6">
        <v>0</v>
      </c>
      <c r="E1894" s="7">
        <f t="shared" si="29"/>
        <v>0</v>
      </c>
      <c r="F1894" s="8" t="s">
        <v>8</v>
      </c>
    </row>
    <row r="1895" spans="1:6" ht="18" customHeight="1">
      <c r="A1895" s="4" t="s">
        <v>53</v>
      </c>
      <c r="B1895" s="4" t="str">
        <f>"2020034024"</f>
        <v>2020034024</v>
      </c>
      <c r="C1895" s="5">
        <v>76</v>
      </c>
      <c r="D1895" s="6">
        <v>86.5</v>
      </c>
      <c r="E1895" s="7">
        <f t="shared" si="29"/>
        <v>162.5</v>
      </c>
      <c r="F1895" s="8"/>
    </row>
    <row r="1896" spans="1:6" ht="18" customHeight="1">
      <c r="A1896" s="4" t="s">
        <v>53</v>
      </c>
      <c r="B1896" s="4" t="str">
        <f>"2020030115"</f>
        <v>2020030115</v>
      </c>
      <c r="C1896" s="5">
        <v>74.2</v>
      </c>
      <c r="D1896" s="6">
        <v>85</v>
      </c>
      <c r="E1896" s="7">
        <f t="shared" si="29"/>
        <v>159.19999999999999</v>
      </c>
      <c r="F1896" s="8"/>
    </row>
    <row r="1897" spans="1:6" ht="18" customHeight="1">
      <c r="A1897" s="4" t="s">
        <v>53</v>
      </c>
      <c r="B1897" s="4" t="str">
        <f>"2020041712"</f>
        <v>2020041712</v>
      </c>
      <c r="C1897" s="5">
        <v>78.599999999999994</v>
      </c>
      <c r="D1897" s="6">
        <v>72.5</v>
      </c>
      <c r="E1897" s="7">
        <f t="shared" si="29"/>
        <v>151.1</v>
      </c>
      <c r="F1897" s="8"/>
    </row>
    <row r="1898" spans="1:6" ht="18" customHeight="1">
      <c r="A1898" s="4" t="s">
        <v>53</v>
      </c>
      <c r="B1898" s="4" t="str">
        <f>"2020047319"</f>
        <v>2020047319</v>
      </c>
      <c r="C1898" s="5">
        <v>67.099999999999994</v>
      </c>
      <c r="D1898" s="6">
        <v>78.5</v>
      </c>
      <c r="E1898" s="7">
        <f t="shared" si="29"/>
        <v>145.6</v>
      </c>
      <c r="F1898" s="8"/>
    </row>
    <row r="1899" spans="1:6" ht="18" customHeight="1">
      <c r="A1899" s="4" t="s">
        <v>53</v>
      </c>
      <c r="B1899" s="4" t="str">
        <f>"2020012026"</f>
        <v>2020012026</v>
      </c>
      <c r="C1899" s="5">
        <v>64</v>
      </c>
      <c r="D1899" s="6">
        <v>81.5</v>
      </c>
      <c r="E1899" s="7">
        <f t="shared" si="29"/>
        <v>145.5</v>
      </c>
      <c r="F1899" s="8"/>
    </row>
    <row r="1900" spans="1:6" ht="18" customHeight="1">
      <c r="A1900" s="4" t="s">
        <v>53</v>
      </c>
      <c r="B1900" s="4" t="str">
        <f>"2020021816"</f>
        <v>2020021816</v>
      </c>
      <c r="C1900" s="5">
        <v>76.2</v>
      </c>
      <c r="D1900" s="6">
        <v>69</v>
      </c>
      <c r="E1900" s="7">
        <f t="shared" si="29"/>
        <v>145.19999999999999</v>
      </c>
      <c r="F1900" s="8"/>
    </row>
    <row r="1901" spans="1:6" ht="18" customHeight="1">
      <c r="A1901" s="4" t="s">
        <v>53</v>
      </c>
      <c r="B1901" s="4" t="str">
        <f>"2020021430"</f>
        <v>2020021430</v>
      </c>
      <c r="C1901" s="5">
        <v>72.400000000000006</v>
      </c>
      <c r="D1901" s="6">
        <v>70</v>
      </c>
      <c r="E1901" s="7">
        <f t="shared" si="29"/>
        <v>142.4</v>
      </c>
      <c r="F1901" s="8"/>
    </row>
    <row r="1902" spans="1:6" ht="18" customHeight="1">
      <c r="A1902" s="4" t="s">
        <v>53</v>
      </c>
      <c r="B1902" s="4" t="str">
        <f>"2020033230"</f>
        <v>2020033230</v>
      </c>
      <c r="C1902" s="5">
        <v>67.099999999999994</v>
      </c>
      <c r="D1902" s="6">
        <v>73.5</v>
      </c>
      <c r="E1902" s="7">
        <f t="shared" si="29"/>
        <v>140.6</v>
      </c>
      <c r="F1902" s="8"/>
    </row>
    <row r="1903" spans="1:6" ht="18" customHeight="1">
      <c r="A1903" s="4" t="s">
        <v>53</v>
      </c>
      <c r="B1903" s="4" t="str">
        <f>"2020013107"</f>
        <v>2020013107</v>
      </c>
      <c r="C1903" s="5">
        <v>69</v>
      </c>
      <c r="D1903" s="6">
        <v>70.5</v>
      </c>
      <c r="E1903" s="7">
        <f t="shared" si="29"/>
        <v>139.5</v>
      </c>
      <c r="F1903" s="8"/>
    </row>
    <row r="1904" spans="1:6" ht="18" customHeight="1">
      <c r="A1904" s="4" t="s">
        <v>53</v>
      </c>
      <c r="B1904" s="4" t="str">
        <f>"2020041614"</f>
        <v>2020041614</v>
      </c>
      <c r="C1904" s="5">
        <v>70.7</v>
      </c>
      <c r="D1904" s="6">
        <v>68</v>
      </c>
      <c r="E1904" s="7">
        <f t="shared" si="29"/>
        <v>138.69999999999999</v>
      </c>
      <c r="F1904" s="8"/>
    </row>
    <row r="1905" spans="1:6" ht="18" customHeight="1">
      <c r="A1905" s="4" t="s">
        <v>53</v>
      </c>
      <c r="B1905" s="4" t="str">
        <f>"2020013208"</f>
        <v>2020013208</v>
      </c>
      <c r="C1905" s="5">
        <v>62.5</v>
      </c>
      <c r="D1905" s="6">
        <v>75</v>
      </c>
      <c r="E1905" s="7">
        <f t="shared" si="29"/>
        <v>137.5</v>
      </c>
      <c r="F1905" s="8"/>
    </row>
    <row r="1906" spans="1:6" ht="18" customHeight="1">
      <c r="A1906" s="4" t="s">
        <v>53</v>
      </c>
      <c r="B1906" s="4" t="str">
        <f>"2020031425"</f>
        <v>2020031425</v>
      </c>
      <c r="C1906" s="5">
        <v>68.400000000000006</v>
      </c>
      <c r="D1906" s="6">
        <v>67</v>
      </c>
      <c r="E1906" s="7">
        <f t="shared" si="29"/>
        <v>135.4</v>
      </c>
      <c r="F1906" s="8"/>
    </row>
    <row r="1907" spans="1:6" ht="18" customHeight="1">
      <c r="A1907" s="4" t="s">
        <v>53</v>
      </c>
      <c r="B1907" s="4" t="str">
        <f>"2020041930"</f>
        <v>2020041930</v>
      </c>
      <c r="C1907" s="5">
        <v>69.5</v>
      </c>
      <c r="D1907" s="6">
        <v>63</v>
      </c>
      <c r="E1907" s="7">
        <f t="shared" si="29"/>
        <v>132.5</v>
      </c>
      <c r="F1907" s="8"/>
    </row>
    <row r="1908" spans="1:6" ht="18" customHeight="1">
      <c r="A1908" s="4" t="s">
        <v>53</v>
      </c>
      <c r="B1908" s="4" t="str">
        <f>"2020046013"</f>
        <v>2020046013</v>
      </c>
      <c r="C1908" s="5">
        <v>63.7</v>
      </c>
      <c r="D1908" s="6">
        <v>62</v>
      </c>
      <c r="E1908" s="7">
        <f t="shared" si="29"/>
        <v>125.7</v>
      </c>
      <c r="F1908" s="8"/>
    </row>
    <row r="1909" spans="1:6" ht="18" customHeight="1">
      <c r="A1909" s="4" t="s">
        <v>53</v>
      </c>
      <c r="B1909" s="4" t="str">
        <f>"2020022205"</f>
        <v>2020022205</v>
      </c>
      <c r="C1909" s="5">
        <v>67.5</v>
      </c>
      <c r="D1909" s="6">
        <v>57.5</v>
      </c>
      <c r="E1909" s="7">
        <f t="shared" si="29"/>
        <v>125</v>
      </c>
      <c r="F1909" s="8"/>
    </row>
    <row r="1910" spans="1:6" ht="18" customHeight="1">
      <c r="A1910" s="4" t="s">
        <v>53</v>
      </c>
      <c r="B1910" s="4" t="str">
        <f>"2020022528"</f>
        <v>2020022528</v>
      </c>
      <c r="C1910" s="5">
        <v>62.2</v>
      </c>
      <c r="D1910" s="6">
        <v>58</v>
      </c>
      <c r="E1910" s="7">
        <f t="shared" si="29"/>
        <v>120.2</v>
      </c>
      <c r="F1910" s="8"/>
    </row>
    <row r="1911" spans="1:6" ht="18" customHeight="1">
      <c r="A1911" s="4" t="s">
        <v>53</v>
      </c>
      <c r="B1911" s="4" t="str">
        <f>"2020042730"</f>
        <v>2020042730</v>
      </c>
      <c r="C1911" s="5">
        <v>63.9</v>
      </c>
      <c r="D1911" s="6">
        <v>56</v>
      </c>
      <c r="E1911" s="7">
        <f t="shared" si="29"/>
        <v>119.9</v>
      </c>
      <c r="F1911" s="8"/>
    </row>
    <row r="1912" spans="1:6" ht="18" customHeight="1">
      <c r="A1912" s="4" t="s">
        <v>53</v>
      </c>
      <c r="B1912" s="4" t="str">
        <f>"2020044910"</f>
        <v>2020044910</v>
      </c>
      <c r="C1912" s="5">
        <v>56.8</v>
      </c>
      <c r="D1912" s="6">
        <v>63</v>
      </c>
      <c r="E1912" s="7">
        <f t="shared" si="29"/>
        <v>119.8</v>
      </c>
      <c r="F1912" s="8"/>
    </row>
    <row r="1913" spans="1:6" ht="18" customHeight="1">
      <c r="A1913" s="4" t="s">
        <v>53</v>
      </c>
      <c r="B1913" s="4" t="str">
        <f>"2020032904"</f>
        <v>2020032904</v>
      </c>
      <c r="C1913" s="5">
        <v>70.900000000000006</v>
      </c>
      <c r="D1913" s="6">
        <v>48</v>
      </c>
      <c r="E1913" s="7">
        <f t="shared" si="29"/>
        <v>118.9</v>
      </c>
      <c r="F1913" s="8"/>
    </row>
    <row r="1914" spans="1:6" ht="18" customHeight="1">
      <c r="A1914" s="4" t="s">
        <v>53</v>
      </c>
      <c r="B1914" s="4" t="str">
        <f>"2020045508"</f>
        <v>2020045508</v>
      </c>
      <c r="C1914" s="5">
        <v>59.3</v>
      </c>
      <c r="D1914" s="6">
        <v>58</v>
      </c>
      <c r="E1914" s="7">
        <f t="shared" si="29"/>
        <v>117.3</v>
      </c>
      <c r="F1914" s="8"/>
    </row>
    <row r="1915" spans="1:6" ht="18" customHeight="1">
      <c r="A1915" s="4" t="s">
        <v>53</v>
      </c>
      <c r="B1915" s="4" t="str">
        <f>"2020024630"</f>
        <v>2020024630</v>
      </c>
      <c r="C1915" s="5">
        <v>55.6</v>
      </c>
      <c r="D1915" s="6">
        <v>56.5</v>
      </c>
      <c r="E1915" s="7">
        <f t="shared" si="29"/>
        <v>112.1</v>
      </c>
      <c r="F1915" s="8"/>
    </row>
    <row r="1916" spans="1:6" ht="18" customHeight="1">
      <c r="A1916" s="4" t="s">
        <v>53</v>
      </c>
      <c r="B1916" s="4" t="str">
        <f>"2020012224"</f>
        <v>2020012224</v>
      </c>
      <c r="C1916" s="5">
        <v>60.2</v>
      </c>
      <c r="D1916" s="6">
        <v>50.5</v>
      </c>
      <c r="E1916" s="7">
        <f t="shared" si="29"/>
        <v>110.7</v>
      </c>
      <c r="F1916" s="8"/>
    </row>
    <row r="1917" spans="1:6" ht="18" customHeight="1">
      <c r="A1917" s="4" t="s">
        <v>53</v>
      </c>
      <c r="B1917" s="4" t="str">
        <f>"2020013110"</f>
        <v>2020013110</v>
      </c>
      <c r="C1917" s="5">
        <v>0</v>
      </c>
      <c r="D1917" s="6">
        <v>0</v>
      </c>
      <c r="E1917" s="7">
        <f t="shared" si="29"/>
        <v>0</v>
      </c>
      <c r="F1917" s="9" t="s">
        <v>8</v>
      </c>
    </row>
    <row r="1918" spans="1:6" ht="18" customHeight="1">
      <c r="A1918" s="4" t="s">
        <v>53</v>
      </c>
      <c r="B1918" s="4" t="str">
        <f>"2020040401"</f>
        <v>2020040401</v>
      </c>
      <c r="C1918" s="5">
        <v>0</v>
      </c>
      <c r="D1918" s="6">
        <v>0</v>
      </c>
      <c r="E1918" s="7">
        <f t="shared" si="29"/>
        <v>0</v>
      </c>
      <c r="F1918" s="8" t="s">
        <v>8</v>
      </c>
    </row>
    <row r="1919" spans="1:6" ht="18" customHeight="1">
      <c r="A1919" s="4" t="s">
        <v>53</v>
      </c>
      <c r="B1919" s="4" t="str">
        <f>"2020044513"</f>
        <v>2020044513</v>
      </c>
      <c r="C1919" s="5">
        <v>0</v>
      </c>
      <c r="D1919" s="6">
        <v>0</v>
      </c>
      <c r="E1919" s="7">
        <f t="shared" si="29"/>
        <v>0</v>
      </c>
      <c r="F1919" s="8" t="s">
        <v>8</v>
      </c>
    </row>
    <row r="1920" spans="1:6" ht="18" customHeight="1">
      <c r="A1920" s="4" t="s">
        <v>54</v>
      </c>
      <c r="B1920" s="4" t="str">
        <f>"2020041013"</f>
        <v>2020041013</v>
      </c>
      <c r="C1920" s="5">
        <v>66.599999999999994</v>
      </c>
      <c r="D1920" s="6">
        <v>72.5</v>
      </c>
      <c r="E1920" s="7">
        <f t="shared" si="29"/>
        <v>139.1</v>
      </c>
      <c r="F1920" s="8"/>
    </row>
    <row r="1921" spans="1:6" ht="18" customHeight="1">
      <c r="A1921" s="4" t="s">
        <v>54</v>
      </c>
      <c r="B1921" s="4" t="str">
        <f>"2020046920"</f>
        <v>2020046920</v>
      </c>
      <c r="C1921" s="5">
        <v>66.599999999999994</v>
      </c>
      <c r="D1921" s="6">
        <v>62</v>
      </c>
      <c r="E1921" s="7">
        <f t="shared" si="29"/>
        <v>128.6</v>
      </c>
      <c r="F1921" s="8"/>
    </row>
    <row r="1922" spans="1:6" ht="18" customHeight="1">
      <c r="A1922" s="4" t="s">
        <v>54</v>
      </c>
      <c r="B1922" s="4" t="str">
        <f>"2020024521"</f>
        <v>2020024521</v>
      </c>
      <c r="C1922" s="5">
        <v>61.5</v>
      </c>
      <c r="D1922" s="6">
        <v>65.5</v>
      </c>
      <c r="E1922" s="7">
        <f t="shared" si="29"/>
        <v>127</v>
      </c>
      <c r="F1922" s="8"/>
    </row>
    <row r="1923" spans="1:6" ht="18" customHeight="1">
      <c r="A1923" s="4" t="s">
        <v>54</v>
      </c>
      <c r="B1923" s="4" t="str">
        <f>"2020043625"</f>
        <v>2020043625</v>
      </c>
      <c r="C1923" s="5">
        <v>64.400000000000006</v>
      </c>
      <c r="D1923" s="6">
        <v>59</v>
      </c>
      <c r="E1923" s="7">
        <f t="shared" ref="E1923:E1986" si="30">SUM(C1923:D1923)</f>
        <v>123.4</v>
      </c>
      <c r="F1923" s="8"/>
    </row>
    <row r="1924" spans="1:6" ht="18" customHeight="1">
      <c r="A1924" s="4" t="s">
        <v>54</v>
      </c>
      <c r="B1924" s="4" t="str">
        <f>"2020031115"</f>
        <v>2020031115</v>
      </c>
      <c r="C1924" s="5">
        <v>53.7</v>
      </c>
      <c r="D1924" s="6">
        <v>62</v>
      </c>
      <c r="E1924" s="7">
        <f t="shared" si="30"/>
        <v>115.7</v>
      </c>
      <c r="F1924" s="8"/>
    </row>
    <row r="1925" spans="1:6" ht="18" customHeight="1">
      <c r="A1925" s="4" t="s">
        <v>54</v>
      </c>
      <c r="B1925" s="4" t="str">
        <f>"2020031007"</f>
        <v>2020031007</v>
      </c>
      <c r="C1925" s="5">
        <v>54.5</v>
      </c>
      <c r="D1925" s="6">
        <v>60</v>
      </c>
      <c r="E1925" s="7">
        <f t="shared" si="30"/>
        <v>114.5</v>
      </c>
      <c r="F1925" s="8"/>
    </row>
    <row r="1926" spans="1:6" ht="18" customHeight="1">
      <c r="A1926" s="4" t="s">
        <v>54</v>
      </c>
      <c r="B1926" s="4" t="str">
        <f>"2020022913"</f>
        <v>2020022913</v>
      </c>
      <c r="C1926" s="5">
        <v>56.8</v>
      </c>
      <c r="D1926" s="6">
        <v>57</v>
      </c>
      <c r="E1926" s="7">
        <f t="shared" si="30"/>
        <v>113.8</v>
      </c>
      <c r="F1926" s="8"/>
    </row>
    <row r="1927" spans="1:6" ht="18" customHeight="1">
      <c r="A1927" s="4" t="s">
        <v>54</v>
      </c>
      <c r="B1927" s="4" t="str">
        <f>"2020041526"</f>
        <v>2020041526</v>
      </c>
      <c r="C1927" s="5">
        <v>58.7</v>
      </c>
      <c r="D1927" s="6">
        <v>51</v>
      </c>
      <c r="E1927" s="7">
        <f t="shared" si="30"/>
        <v>109.7</v>
      </c>
      <c r="F1927" s="8"/>
    </row>
    <row r="1928" spans="1:6" ht="18" customHeight="1">
      <c r="A1928" s="4" t="s">
        <v>54</v>
      </c>
      <c r="B1928" s="4" t="str">
        <f>"2020022416"</f>
        <v>2020022416</v>
      </c>
      <c r="C1928" s="5">
        <v>56.1</v>
      </c>
      <c r="D1928" s="6">
        <v>53.5</v>
      </c>
      <c r="E1928" s="7">
        <f t="shared" si="30"/>
        <v>109.6</v>
      </c>
      <c r="F1928" s="8"/>
    </row>
    <row r="1929" spans="1:6" ht="18" customHeight="1">
      <c r="A1929" s="4" t="s">
        <v>54</v>
      </c>
      <c r="B1929" s="4" t="str">
        <f>"2020045929"</f>
        <v>2020045929</v>
      </c>
      <c r="C1929" s="5">
        <v>53.3</v>
      </c>
      <c r="D1929" s="6">
        <v>55.5</v>
      </c>
      <c r="E1929" s="7">
        <f t="shared" si="30"/>
        <v>108.8</v>
      </c>
      <c r="F1929" s="8"/>
    </row>
    <row r="1930" spans="1:6" ht="18" customHeight="1">
      <c r="A1930" s="4" t="s">
        <v>54</v>
      </c>
      <c r="B1930" s="4" t="str">
        <f>"2020022523"</f>
        <v>2020022523</v>
      </c>
      <c r="C1930" s="5">
        <v>58.4</v>
      </c>
      <c r="D1930" s="6">
        <v>47.5</v>
      </c>
      <c r="E1930" s="7">
        <f t="shared" si="30"/>
        <v>105.9</v>
      </c>
      <c r="F1930" s="8"/>
    </row>
    <row r="1931" spans="1:6" ht="18" customHeight="1">
      <c r="A1931" s="4" t="s">
        <v>54</v>
      </c>
      <c r="B1931" s="4" t="str">
        <f>"2020033312"</f>
        <v>2020033312</v>
      </c>
      <c r="C1931" s="5">
        <v>52.9</v>
      </c>
      <c r="D1931" s="6">
        <v>47.5</v>
      </c>
      <c r="E1931" s="7">
        <f t="shared" si="30"/>
        <v>100.4</v>
      </c>
      <c r="F1931" s="8"/>
    </row>
    <row r="1932" spans="1:6" ht="18" customHeight="1">
      <c r="A1932" s="4" t="s">
        <v>54</v>
      </c>
      <c r="B1932" s="4" t="str">
        <f>"2020010330"</f>
        <v>2020010330</v>
      </c>
      <c r="C1932" s="5">
        <v>50.2</v>
      </c>
      <c r="D1932" s="6">
        <v>47.5</v>
      </c>
      <c r="E1932" s="7">
        <f t="shared" si="30"/>
        <v>97.7</v>
      </c>
      <c r="F1932" s="8"/>
    </row>
    <row r="1933" spans="1:6" ht="18" customHeight="1">
      <c r="A1933" s="4" t="s">
        <v>54</v>
      </c>
      <c r="B1933" s="4" t="str">
        <f>"2020024512"</f>
        <v>2020024512</v>
      </c>
      <c r="C1933" s="5">
        <v>52.7</v>
      </c>
      <c r="D1933" s="6">
        <v>29</v>
      </c>
      <c r="E1933" s="7">
        <f t="shared" si="30"/>
        <v>81.7</v>
      </c>
      <c r="F1933" s="8"/>
    </row>
    <row r="1934" spans="1:6" ht="18" customHeight="1">
      <c r="A1934" s="4" t="s">
        <v>54</v>
      </c>
      <c r="B1934" s="4" t="str">
        <f>"2020020805"</f>
        <v>2020020805</v>
      </c>
      <c r="C1934" s="5">
        <v>0</v>
      </c>
      <c r="D1934" s="6">
        <v>0</v>
      </c>
      <c r="E1934" s="7">
        <f t="shared" si="30"/>
        <v>0</v>
      </c>
      <c r="F1934" s="8" t="s">
        <v>8</v>
      </c>
    </row>
    <row r="1935" spans="1:6" ht="18" customHeight="1">
      <c r="A1935" s="4" t="s">
        <v>54</v>
      </c>
      <c r="B1935" s="4" t="str">
        <f>"2020024404"</f>
        <v>2020024404</v>
      </c>
      <c r="C1935" s="5">
        <v>0</v>
      </c>
      <c r="D1935" s="6">
        <v>0</v>
      </c>
      <c r="E1935" s="7">
        <f t="shared" si="30"/>
        <v>0</v>
      </c>
      <c r="F1935" s="8" t="s">
        <v>8</v>
      </c>
    </row>
    <row r="1936" spans="1:6" ht="18" customHeight="1">
      <c r="A1936" s="4" t="s">
        <v>54</v>
      </c>
      <c r="B1936" s="4" t="str">
        <f>"2020031610"</f>
        <v>2020031610</v>
      </c>
      <c r="C1936" s="5">
        <v>0</v>
      </c>
      <c r="D1936" s="6">
        <v>0</v>
      </c>
      <c r="E1936" s="7">
        <f t="shared" si="30"/>
        <v>0</v>
      </c>
      <c r="F1936" s="8" t="s">
        <v>8</v>
      </c>
    </row>
    <row r="1937" spans="1:6" ht="18" customHeight="1">
      <c r="A1937" s="4" t="s">
        <v>54</v>
      </c>
      <c r="B1937" s="4" t="str">
        <f>"2020045329"</f>
        <v>2020045329</v>
      </c>
      <c r="C1937" s="5">
        <v>0</v>
      </c>
      <c r="D1937" s="6">
        <v>0</v>
      </c>
      <c r="E1937" s="7">
        <f t="shared" si="30"/>
        <v>0</v>
      </c>
      <c r="F1937" s="8" t="s">
        <v>8</v>
      </c>
    </row>
    <row r="1938" spans="1:6" ht="18" customHeight="1">
      <c r="A1938" s="4" t="s">
        <v>55</v>
      </c>
      <c r="B1938" s="4" t="str">
        <f>"2020013203"</f>
        <v>2020013203</v>
      </c>
      <c r="C1938" s="5">
        <v>79.099999999999994</v>
      </c>
      <c r="D1938" s="6">
        <v>86.5</v>
      </c>
      <c r="E1938" s="7">
        <f t="shared" si="30"/>
        <v>165.6</v>
      </c>
      <c r="F1938" s="8"/>
    </row>
    <row r="1939" spans="1:6" ht="18" customHeight="1">
      <c r="A1939" s="4" t="s">
        <v>55</v>
      </c>
      <c r="B1939" s="4" t="str">
        <f>"2020047307"</f>
        <v>2020047307</v>
      </c>
      <c r="C1939" s="5">
        <v>79.5</v>
      </c>
      <c r="D1939" s="6">
        <v>69.5</v>
      </c>
      <c r="E1939" s="7">
        <f t="shared" si="30"/>
        <v>149</v>
      </c>
      <c r="F1939" s="8"/>
    </row>
    <row r="1940" spans="1:6" ht="18" customHeight="1">
      <c r="A1940" s="4" t="s">
        <v>55</v>
      </c>
      <c r="B1940" s="4" t="str">
        <f>"2020013125"</f>
        <v>2020013125</v>
      </c>
      <c r="C1940" s="5">
        <v>70.099999999999994</v>
      </c>
      <c r="D1940" s="6">
        <v>77.5</v>
      </c>
      <c r="E1940" s="7">
        <f t="shared" si="30"/>
        <v>147.6</v>
      </c>
      <c r="F1940" s="8"/>
    </row>
    <row r="1941" spans="1:6" ht="18" customHeight="1">
      <c r="A1941" s="4" t="s">
        <v>55</v>
      </c>
      <c r="B1941" s="4" t="str">
        <f>"2020021609"</f>
        <v>2020021609</v>
      </c>
      <c r="C1941" s="5">
        <v>74.599999999999994</v>
      </c>
      <c r="D1941" s="6">
        <v>67.5</v>
      </c>
      <c r="E1941" s="7">
        <f t="shared" si="30"/>
        <v>142.1</v>
      </c>
      <c r="F1941" s="8"/>
    </row>
    <row r="1942" spans="1:6" ht="18" customHeight="1">
      <c r="A1942" s="4" t="s">
        <v>55</v>
      </c>
      <c r="B1942" s="4" t="str">
        <f>"2020042523"</f>
        <v>2020042523</v>
      </c>
      <c r="C1942" s="5">
        <v>62.3</v>
      </c>
      <c r="D1942" s="6">
        <v>76.5</v>
      </c>
      <c r="E1942" s="7">
        <f t="shared" si="30"/>
        <v>138.80000000000001</v>
      </c>
      <c r="F1942" s="8"/>
    </row>
    <row r="1943" spans="1:6" ht="18" customHeight="1">
      <c r="A1943" s="4" t="s">
        <v>55</v>
      </c>
      <c r="B1943" s="4" t="str">
        <f>"2020030613"</f>
        <v>2020030613</v>
      </c>
      <c r="C1943" s="5">
        <v>70.5</v>
      </c>
      <c r="D1943" s="6">
        <v>68</v>
      </c>
      <c r="E1943" s="7">
        <f t="shared" si="30"/>
        <v>138.5</v>
      </c>
      <c r="F1943" s="8"/>
    </row>
    <row r="1944" spans="1:6" ht="18" customHeight="1">
      <c r="A1944" s="4" t="s">
        <v>55</v>
      </c>
      <c r="B1944" s="4" t="str">
        <f>"2020011018"</f>
        <v>2020011018</v>
      </c>
      <c r="C1944" s="5">
        <v>61</v>
      </c>
      <c r="D1944" s="6">
        <v>77.5</v>
      </c>
      <c r="E1944" s="7">
        <f t="shared" si="30"/>
        <v>138.5</v>
      </c>
      <c r="F1944" s="8"/>
    </row>
    <row r="1945" spans="1:6" ht="18" customHeight="1">
      <c r="A1945" s="4" t="s">
        <v>55</v>
      </c>
      <c r="B1945" s="4" t="str">
        <f>"2020045116"</f>
        <v>2020045116</v>
      </c>
      <c r="C1945" s="5">
        <v>64.8</v>
      </c>
      <c r="D1945" s="6">
        <v>71.5</v>
      </c>
      <c r="E1945" s="7">
        <f t="shared" si="30"/>
        <v>136.30000000000001</v>
      </c>
      <c r="F1945" s="8"/>
    </row>
    <row r="1946" spans="1:6" ht="18" customHeight="1">
      <c r="A1946" s="4" t="s">
        <v>55</v>
      </c>
      <c r="B1946" s="4" t="str">
        <f>"2020042320"</f>
        <v>2020042320</v>
      </c>
      <c r="C1946" s="5">
        <v>66.400000000000006</v>
      </c>
      <c r="D1946" s="6">
        <v>69.5</v>
      </c>
      <c r="E1946" s="7">
        <f t="shared" si="30"/>
        <v>135.9</v>
      </c>
      <c r="F1946" s="8"/>
    </row>
    <row r="1947" spans="1:6" ht="18" customHeight="1">
      <c r="A1947" s="4" t="s">
        <v>55</v>
      </c>
      <c r="B1947" s="4" t="str">
        <f>"2020042402"</f>
        <v>2020042402</v>
      </c>
      <c r="C1947" s="5">
        <v>67.099999999999994</v>
      </c>
      <c r="D1947" s="6">
        <v>68</v>
      </c>
      <c r="E1947" s="7">
        <f t="shared" si="30"/>
        <v>135.1</v>
      </c>
      <c r="F1947" s="8"/>
    </row>
    <row r="1948" spans="1:6" ht="18" customHeight="1">
      <c r="A1948" s="4" t="s">
        <v>55</v>
      </c>
      <c r="B1948" s="4" t="str">
        <f>"2020012307"</f>
        <v>2020012307</v>
      </c>
      <c r="C1948" s="5">
        <v>69.400000000000006</v>
      </c>
      <c r="D1948" s="6">
        <v>64.5</v>
      </c>
      <c r="E1948" s="7">
        <f t="shared" si="30"/>
        <v>133.9</v>
      </c>
      <c r="F1948" s="8"/>
    </row>
    <row r="1949" spans="1:6" ht="18" customHeight="1">
      <c r="A1949" s="4" t="s">
        <v>55</v>
      </c>
      <c r="B1949" s="4" t="str">
        <f>"2020042107"</f>
        <v>2020042107</v>
      </c>
      <c r="C1949" s="5">
        <v>65.3</v>
      </c>
      <c r="D1949" s="6">
        <v>68</v>
      </c>
      <c r="E1949" s="7">
        <f t="shared" si="30"/>
        <v>133.30000000000001</v>
      </c>
      <c r="F1949" s="8"/>
    </row>
    <row r="1950" spans="1:6" ht="18" customHeight="1">
      <c r="A1950" s="4" t="s">
        <v>55</v>
      </c>
      <c r="B1950" s="4" t="str">
        <f>"2020033220"</f>
        <v>2020033220</v>
      </c>
      <c r="C1950" s="5">
        <v>63.7</v>
      </c>
      <c r="D1950" s="6">
        <v>66.5</v>
      </c>
      <c r="E1950" s="7">
        <f t="shared" si="30"/>
        <v>130.19999999999999</v>
      </c>
      <c r="F1950" s="8"/>
    </row>
    <row r="1951" spans="1:6" ht="18" customHeight="1">
      <c r="A1951" s="4" t="s">
        <v>55</v>
      </c>
      <c r="B1951" s="4" t="str">
        <f>"2020012116"</f>
        <v>2020012116</v>
      </c>
      <c r="C1951" s="5">
        <v>61</v>
      </c>
      <c r="D1951" s="6">
        <v>65.5</v>
      </c>
      <c r="E1951" s="7">
        <f t="shared" si="30"/>
        <v>126.5</v>
      </c>
      <c r="F1951" s="8"/>
    </row>
    <row r="1952" spans="1:6" ht="18" customHeight="1">
      <c r="A1952" s="4" t="s">
        <v>55</v>
      </c>
      <c r="B1952" s="4" t="str">
        <f>"2020013002"</f>
        <v>2020013002</v>
      </c>
      <c r="C1952" s="5">
        <v>62.9</v>
      </c>
      <c r="D1952" s="6">
        <v>63.5</v>
      </c>
      <c r="E1952" s="7">
        <f t="shared" si="30"/>
        <v>126.4</v>
      </c>
      <c r="F1952" s="8"/>
    </row>
    <row r="1953" spans="1:6" ht="18" customHeight="1">
      <c r="A1953" s="4" t="s">
        <v>55</v>
      </c>
      <c r="B1953" s="4" t="str">
        <f>"2020013810"</f>
        <v>2020013810</v>
      </c>
      <c r="C1953" s="5">
        <v>62.2</v>
      </c>
      <c r="D1953" s="6">
        <v>64</v>
      </c>
      <c r="E1953" s="7">
        <f t="shared" si="30"/>
        <v>126.2</v>
      </c>
      <c r="F1953" s="8"/>
    </row>
    <row r="1954" spans="1:6" ht="18" customHeight="1">
      <c r="A1954" s="4" t="s">
        <v>55</v>
      </c>
      <c r="B1954" s="4" t="str">
        <f>"2020047607"</f>
        <v>2020047607</v>
      </c>
      <c r="C1954" s="5">
        <v>64.8</v>
      </c>
      <c r="D1954" s="6">
        <v>61</v>
      </c>
      <c r="E1954" s="7">
        <f t="shared" si="30"/>
        <v>125.8</v>
      </c>
      <c r="F1954" s="8"/>
    </row>
    <row r="1955" spans="1:6" ht="18" customHeight="1">
      <c r="A1955" s="4" t="s">
        <v>55</v>
      </c>
      <c r="B1955" s="4" t="str">
        <f>"2020047308"</f>
        <v>2020047308</v>
      </c>
      <c r="C1955" s="5">
        <v>67.099999999999994</v>
      </c>
      <c r="D1955" s="6">
        <v>56.5</v>
      </c>
      <c r="E1955" s="7">
        <f t="shared" si="30"/>
        <v>123.6</v>
      </c>
      <c r="F1955" s="8"/>
    </row>
    <row r="1956" spans="1:6" ht="18" customHeight="1">
      <c r="A1956" s="4" t="s">
        <v>55</v>
      </c>
      <c r="B1956" s="4" t="str">
        <f>"2020010313"</f>
        <v>2020010313</v>
      </c>
      <c r="C1956" s="5">
        <v>62.8</v>
      </c>
      <c r="D1956" s="6">
        <v>60.5</v>
      </c>
      <c r="E1956" s="7">
        <f t="shared" si="30"/>
        <v>123.3</v>
      </c>
      <c r="F1956" s="8"/>
    </row>
    <row r="1957" spans="1:6" ht="18" customHeight="1">
      <c r="A1957" s="4" t="s">
        <v>55</v>
      </c>
      <c r="B1957" s="4" t="str">
        <f>"2020043710"</f>
        <v>2020043710</v>
      </c>
      <c r="C1957" s="5">
        <v>65.2</v>
      </c>
      <c r="D1957" s="6">
        <v>58</v>
      </c>
      <c r="E1957" s="7">
        <f t="shared" si="30"/>
        <v>123.2</v>
      </c>
      <c r="F1957" s="8"/>
    </row>
    <row r="1958" spans="1:6" ht="18" customHeight="1">
      <c r="A1958" s="4" t="s">
        <v>55</v>
      </c>
      <c r="B1958" s="4" t="str">
        <f>"2020041702"</f>
        <v>2020041702</v>
      </c>
      <c r="C1958" s="5">
        <v>66.900000000000006</v>
      </c>
      <c r="D1958" s="6">
        <v>52</v>
      </c>
      <c r="E1958" s="7">
        <f t="shared" si="30"/>
        <v>118.9</v>
      </c>
      <c r="F1958" s="8"/>
    </row>
    <row r="1959" spans="1:6" ht="18" customHeight="1">
      <c r="A1959" s="4" t="s">
        <v>55</v>
      </c>
      <c r="B1959" s="4" t="str">
        <f>"2020013524"</f>
        <v>2020013524</v>
      </c>
      <c r="C1959" s="5">
        <v>60.7</v>
      </c>
      <c r="D1959" s="6">
        <v>57.5</v>
      </c>
      <c r="E1959" s="7">
        <f t="shared" si="30"/>
        <v>118.2</v>
      </c>
      <c r="F1959" s="8"/>
    </row>
    <row r="1960" spans="1:6" ht="18" customHeight="1">
      <c r="A1960" s="4" t="s">
        <v>55</v>
      </c>
      <c r="B1960" s="4" t="str">
        <f>"2020041125"</f>
        <v>2020041125</v>
      </c>
      <c r="C1960" s="5">
        <v>62.5</v>
      </c>
      <c r="D1960" s="6">
        <v>51</v>
      </c>
      <c r="E1960" s="7">
        <f t="shared" si="30"/>
        <v>113.5</v>
      </c>
      <c r="F1960" s="8"/>
    </row>
    <row r="1961" spans="1:6" ht="18" customHeight="1">
      <c r="A1961" s="4" t="s">
        <v>55</v>
      </c>
      <c r="B1961" s="4" t="str">
        <f>"2020032111"</f>
        <v>2020032111</v>
      </c>
      <c r="C1961" s="5">
        <v>60.7</v>
      </c>
      <c r="D1961" s="6">
        <v>52</v>
      </c>
      <c r="E1961" s="7">
        <f t="shared" si="30"/>
        <v>112.7</v>
      </c>
      <c r="F1961" s="8"/>
    </row>
    <row r="1962" spans="1:6" ht="18" customHeight="1">
      <c r="A1962" s="4" t="s">
        <v>55</v>
      </c>
      <c r="B1962" s="4" t="str">
        <f>"2020033412"</f>
        <v>2020033412</v>
      </c>
      <c r="C1962" s="5">
        <v>60</v>
      </c>
      <c r="D1962" s="6">
        <v>52</v>
      </c>
      <c r="E1962" s="7">
        <f t="shared" si="30"/>
        <v>112</v>
      </c>
      <c r="F1962" s="8"/>
    </row>
    <row r="1963" spans="1:6" ht="18" customHeight="1">
      <c r="A1963" s="4" t="s">
        <v>55</v>
      </c>
      <c r="B1963" s="4" t="str">
        <f>"2020023623"</f>
        <v>2020023623</v>
      </c>
      <c r="C1963" s="5">
        <v>55.4</v>
      </c>
      <c r="D1963" s="6">
        <v>56.5</v>
      </c>
      <c r="E1963" s="7">
        <f t="shared" si="30"/>
        <v>111.9</v>
      </c>
      <c r="F1963" s="8"/>
    </row>
    <row r="1964" spans="1:6" ht="18" customHeight="1">
      <c r="A1964" s="4" t="s">
        <v>55</v>
      </c>
      <c r="B1964" s="4" t="str">
        <f>"2020020202"</f>
        <v>2020020202</v>
      </c>
      <c r="C1964" s="5">
        <v>53.8</v>
      </c>
      <c r="D1964" s="6">
        <v>56.5</v>
      </c>
      <c r="E1964" s="7">
        <f t="shared" si="30"/>
        <v>110.3</v>
      </c>
      <c r="F1964" s="8"/>
    </row>
    <row r="1965" spans="1:6" ht="18" customHeight="1">
      <c r="A1965" s="4" t="s">
        <v>55</v>
      </c>
      <c r="B1965" s="4" t="str">
        <f>"2020011809"</f>
        <v>2020011809</v>
      </c>
      <c r="C1965" s="5">
        <v>64.400000000000006</v>
      </c>
      <c r="D1965" s="6">
        <v>41</v>
      </c>
      <c r="E1965" s="7">
        <f t="shared" si="30"/>
        <v>105.4</v>
      </c>
      <c r="F1965" s="8"/>
    </row>
    <row r="1966" spans="1:6" ht="18" customHeight="1">
      <c r="A1966" s="4" t="s">
        <v>55</v>
      </c>
      <c r="B1966" s="4" t="str">
        <f>"2020022721"</f>
        <v>2020022721</v>
      </c>
      <c r="C1966" s="5">
        <v>60.4</v>
      </c>
      <c r="D1966" s="6">
        <v>43.5</v>
      </c>
      <c r="E1966" s="7">
        <f t="shared" si="30"/>
        <v>103.9</v>
      </c>
      <c r="F1966" s="8"/>
    </row>
    <row r="1967" spans="1:6" ht="18" customHeight="1">
      <c r="A1967" s="4" t="s">
        <v>55</v>
      </c>
      <c r="B1967" s="4" t="str">
        <f>"2020024827"</f>
        <v>2020024827</v>
      </c>
      <c r="C1967" s="5">
        <v>49.8</v>
      </c>
      <c r="D1967" s="6">
        <v>46.5</v>
      </c>
      <c r="E1967" s="7">
        <f t="shared" si="30"/>
        <v>96.3</v>
      </c>
      <c r="F1967" s="8"/>
    </row>
    <row r="1968" spans="1:6" ht="18" customHeight="1">
      <c r="A1968" s="4" t="s">
        <v>55</v>
      </c>
      <c r="B1968" s="4" t="str">
        <f>"2020013930"</f>
        <v>2020013930</v>
      </c>
      <c r="C1968" s="5">
        <v>45.9</v>
      </c>
      <c r="D1968" s="6">
        <v>42</v>
      </c>
      <c r="E1968" s="7">
        <f t="shared" si="30"/>
        <v>87.9</v>
      </c>
      <c r="F1968" s="8"/>
    </row>
    <row r="1969" spans="1:6" ht="18" customHeight="1">
      <c r="A1969" s="4" t="s">
        <v>55</v>
      </c>
      <c r="B1969" s="4" t="str">
        <f>"2020024807"</f>
        <v>2020024807</v>
      </c>
      <c r="C1969" s="5">
        <v>58.1</v>
      </c>
      <c r="D1969" s="6">
        <v>21</v>
      </c>
      <c r="E1969" s="7">
        <f t="shared" si="30"/>
        <v>79.099999999999994</v>
      </c>
      <c r="F1969" s="8"/>
    </row>
    <row r="1970" spans="1:6" ht="18" customHeight="1">
      <c r="A1970" s="4" t="s">
        <v>55</v>
      </c>
      <c r="B1970" s="4" t="str">
        <f>"2020011724"</f>
        <v>2020011724</v>
      </c>
      <c r="C1970" s="5">
        <v>0</v>
      </c>
      <c r="D1970" s="6">
        <v>0</v>
      </c>
      <c r="E1970" s="7">
        <f t="shared" si="30"/>
        <v>0</v>
      </c>
      <c r="F1970" s="9" t="s">
        <v>8</v>
      </c>
    </row>
    <row r="1971" spans="1:6" ht="18" customHeight="1">
      <c r="A1971" s="4" t="s">
        <v>55</v>
      </c>
      <c r="B1971" s="4" t="str">
        <f>"2020013419"</f>
        <v>2020013419</v>
      </c>
      <c r="C1971" s="5">
        <v>0</v>
      </c>
      <c r="D1971" s="6">
        <v>0</v>
      </c>
      <c r="E1971" s="7">
        <f t="shared" si="30"/>
        <v>0</v>
      </c>
      <c r="F1971" s="9" t="s">
        <v>8</v>
      </c>
    </row>
    <row r="1972" spans="1:6" ht="18" customHeight="1">
      <c r="A1972" s="4" t="s">
        <v>55</v>
      </c>
      <c r="B1972" s="4" t="str">
        <f>"2020020708"</f>
        <v>2020020708</v>
      </c>
      <c r="C1972" s="5">
        <v>0</v>
      </c>
      <c r="D1972" s="6">
        <v>0</v>
      </c>
      <c r="E1972" s="7">
        <f t="shared" si="30"/>
        <v>0</v>
      </c>
      <c r="F1972" s="8" t="s">
        <v>8</v>
      </c>
    </row>
    <row r="1973" spans="1:6" ht="18" customHeight="1">
      <c r="A1973" s="4" t="s">
        <v>55</v>
      </c>
      <c r="B1973" s="4" t="str">
        <f>"2020021910"</f>
        <v>2020021910</v>
      </c>
      <c r="C1973" s="5">
        <v>0</v>
      </c>
      <c r="D1973" s="6">
        <v>0</v>
      </c>
      <c r="E1973" s="7">
        <f t="shared" si="30"/>
        <v>0</v>
      </c>
      <c r="F1973" s="8" t="s">
        <v>8</v>
      </c>
    </row>
    <row r="1974" spans="1:6" ht="18" customHeight="1">
      <c r="A1974" s="4" t="s">
        <v>55</v>
      </c>
      <c r="B1974" s="4" t="str">
        <f>"2020022901"</f>
        <v>2020022901</v>
      </c>
      <c r="C1974" s="5">
        <v>0</v>
      </c>
      <c r="D1974" s="6">
        <v>0</v>
      </c>
      <c r="E1974" s="7">
        <f t="shared" si="30"/>
        <v>0</v>
      </c>
      <c r="F1974" s="8" t="s">
        <v>8</v>
      </c>
    </row>
    <row r="1975" spans="1:6" ht="18" customHeight="1">
      <c r="A1975" s="4" t="s">
        <v>55</v>
      </c>
      <c r="B1975" s="4" t="str">
        <f>"2020023230"</f>
        <v>2020023230</v>
      </c>
      <c r="C1975" s="5">
        <v>0</v>
      </c>
      <c r="D1975" s="6">
        <v>0</v>
      </c>
      <c r="E1975" s="7">
        <f t="shared" si="30"/>
        <v>0</v>
      </c>
      <c r="F1975" s="8" t="s">
        <v>8</v>
      </c>
    </row>
    <row r="1976" spans="1:6" ht="18" customHeight="1">
      <c r="A1976" s="4" t="s">
        <v>55</v>
      </c>
      <c r="B1976" s="4" t="str">
        <f>"2020030222"</f>
        <v>2020030222</v>
      </c>
      <c r="C1976" s="5">
        <v>0</v>
      </c>
      <c r="D1976" s="6">
        <v>0</v>
      </c>
      <c r="E1976" s="7">
        <f t="shared" si="30"/>
        <v>0</v>
      </c>
      <c r="F1976" s="8" t="s">
        <v>8</v>
      </c>
    </row>
    <row r="1977" spans="1:6" ht="18" customHeight="1">
      <c r="A1977" s="4" t="s">
        <v>55</v>
      </c>
      <c r="B1977" s="4" t="str">
        <f>"2020031828"</f>
        <v>2020031828</v>
      </c>
      <c r="C1977" s="5">
        <v>0</v>
      </c>
      <c r="D1977" s="6">
        <v>0</v>
      </c>
      <c r="E1977" s="7">
        <f t="shared" si="30"/>
        <v>0</v>
      </c>
      <c r="F1977" s="8" t="s">
        <v>8</v>
      </c>
    </row>
    <row r="1978" spans="1:6" ht="18" customHeight="1">
      <c r="A1978" s="4" t="s">
        <v>55</v>
      </c>
      <c r="B1978" s="4" t="str">
        <f>"2020032426"</f>
        <v>2020032426</v>
      </c>
      <c r="C1978" s="5">
        <v>0</v>
      </c>
      <c r="D1978" s="6">
        <v>0</v>
      </c>
      <c r="E1978" s="7">
        <f t="shared" si="30"/>
        <v>0</v>
      </c>
      <c r="F1978" s="8" t="s">
        <v>8</v>
      </c>
    </row>
    <row r="1979" spans="1:6" ht="18" customHeight="1">
      <c r="A1979" s="4" t="s">
        <v>55</v>
      </c>
      <c r="B1979" s="4" t="str">
        <f>"2020033012"</f>
        <v>2020033012</v>
      </c>
      <c r="C1979" s="5">
        <v>0</v>
      </c>
      <c r="D1979" s="6">
        <v>0</v>
      </c>
      <c r="E1979" s="7">
        <f t="shared" si="30"/>
        <v>0</v>
      </c>
      <c r="F1979" s="8" t="s">
        <v>8</v>
      </c>
    </row>
    <row r="1980" spans="1:6" ht="18" customHeight="1">
      <c r="A1980" s="4" t="s">
        <v>55</v>
      </c>
      <c r="B1980" s="4" t="str">
        <f>"2020040208"</f>
        <v>2020040208</v>
      </c>
      <c r="C1980" s="5">
        <v>0</v>
      </c>
      <c r="D1980" s="6">
        <v>0</v>
      </c>
      <c r="E1980" s="7">
        <f t="shared" si="30"/>
        <v>0</v>
      </c>
      <c r="F1980" s="8" t="s">
        <v>8</v>
      </c>
    </row>
    <row r="1981" spans="1:6" ht="18" customHeight="1">
      <c r="A1981" s="4" t="s">
        <v>55</v>
      </c>
      <c r="B1981" s="4" t="str">
        <f>"2020043205"</f>
        <v>2020043205</v>
      </c>
      <c r="C1981" s="5">
        <v>0</v>
      </c>
      <c r="D1981" s="6">
        <v>0</v>
      </c>
      <c r="E1981" s="7">
        <f t="shared" si="30"/>
        <v>0</v>
      </c>
      <c r="F1981" s="8" t="s">
        <v>8</v>
      </c>
    </row>
    <row r="1982" spans="1:6" ht="18" customHeight="1">
      <c r="A1982" s="4" t="s">
        <v>55</v>
      </c>
      <c r="B1982" s="4" t="str">
        <f>"2020044523"</f>
        <v>2020044523</v>
      </c>
      <c r="C1982" s="5">
        <v>0</v>
      </c>
      <c r="D1982" s="6">
        <v>0</v>
      </c>
      <c r="E1982" s="7">
        <f t="shared" si="30"/>
        <v>0</v>
      </c>
      <c r="F1982" s="8" t="s">
        <v>8</v>
      </c>
    </row>
    <row r="1983" spans="1:6" ht="18" customHeight="1">
      <c r="A1983" s="4" t="s">
        <v>56</v>
      </c>
      <c r="B1983" s="4" t="str">
        <f>"2020041828"</f>
        <v>2020041828</v>
      </c>
      <c r="C1983" s="5">
        <v>67.7</v>
      </c>
      <c r="D1983" s="6">
        <v>84</v>
      </c>
      <c r="E1983" s="7">
        <f t="shared" si="30"/>
        <v>151.69999999999999</v>
      </c>
      <c r="F1983" s="8"/>
    </row>
    <row r="1984" spans="1:6" ht="18" customHeight="1">
      <c r="A1984" s="4" t="s">
        <v>56</v>
      </c>
      <c r="B1984" s="4" t="str">
        <f>"2020022713"</f>
        <v>2020022713</v>
      </c>
      <c r="C1984" s="5">
        <v>68</v>
      </c>
      <c r="D1984" s="6">
        <v>77</v>
      </c>
      <c r="E1984" s="7">
        <f t="shared" si="30"/>
        <v>145</v>
      </c>
      <c r="F1984" s="8"/>
    </row>
    <row r="1985" spans="1:6" ht="18" customHeight="1">
      <c r="A1985" s="4" t="s">
        <v>56</v>
      </c>
      <c r="B1985" s="4" t="str">
        <f>"2020024414"</f>
        <v>2020024414</v>
      </c>
      <c r="C1985" s="5">
        <v>74.5</v>
      </c>
      <c r="D1985" s="6">
        <v>68.5</v>
      </c>
      <c r="E1985" s="7">
        <f t="shared" si="30"/>
        <v>143</v>
      </c>
      <c r="F1985" s="8"/>
    </row>
    <row r="1986" spans="1:6" ht="18" customHeight="1">
      <c r="A1986" s="4" t="s">
        <v>56</v>
      </c>
      <c r="B1986" s="4" t="str">
        <f>"2020041903"</f>
        <v>2020041903</v>
      </c>
      <c r="C1986" s="5">
        <v>68.900000000000006</v>
      </c>
      <c r="D1986" s="6">
        <v>71</v>
      </c>
      <c r="E1986" s="7">
        <f t="shared" si="30"/>
        <v>139.9</v>
      </c>
      <c r="F1986" s="8"/>
    </row>
    <row r="1987" spans="1:6" ht="18" customHeight="1">
      <c r="A1987" s="4" t="s">
        <v>56</v>
      </c>
      <c r="B1987" s="4" t="str">
        <f>"2020020205"</f>
        <v>2020020205</v>
      </c>
      <c r="C1987" s="5">
        <v>55.7</v>
      </c>
      <c r="D1987" s="6">
        <v>75.5</v>
      </c>
      <c r="E1987" s="7">
        <f t="shared" ref="E1987:E2050" si="31">SUM(C1987:D1987)</f>
        <v>131.19999999999999</v>
      </c>
      <c r="F1987" s="8"/>
    </row>
    <row r="1988" spans="1:6" ht="18" customHeight="1">
      <c r="A1988" s="4" t="s">
        <v>56</v>
      </c>
      <c r="B1988" s="4" t="str">
        <f>"2020024218"</f>
        <v>2020024218</v>
      </c>
      <c r="C1988" s="5">
        <v>59.4</v>
      </c>
      <c r="D1988" s="6">
        <v>71</v>
      </c>
      <c r="E1988" s="7">
        <f t="shared" si="31"/>
        <v>130.4</v>
      </c>
      <c r="F1988" s="8"/>
    </row>
    <row r="1989" spans="1:6" ht="18" customHeight="1">
      <c r="A1989" s="4" t="s">
        <v>56</v>
      </c>
      <c r="B1989" s="4" t="str">
        <f>"2020021829"</f>
        <v>2020021829</v>
      </c>
      <c r="C1989" s="5">
        <v>61.7</v>
      </c>
      <c r="D1989" s="6">
        <v>64.5</v>
      </c>
      <c r="E1989" s="7">
        <f t="shared" si="31"/>
        <v>126.2</v>
      </c>
      <c r="F1989" s="8"/>
    </row>
    <row r="1990" spans="1:6" ht="18" customHeight="1">
      <c r="A1990" s="4" t="s">
        <v>56</v>
      </c>
      <c r="B1990" s="4" t="str">
        <f>"2020046101"</f>
        <v>2020046101</v>
      </c>
      <c r="C1990" s="5">
        <v>54.9</v>
      </c>
      <c r="D1990" s="6">
        <v>61</v>
      </c>
      <c r="E1990" s="7">
        <f t="shared" si="31"/>
        <v>115.9</v>
      </c>
      <c r="F1990" s="8"/>
    </row>
    <row r="1991" spans="1:6" ht="18" customHeight="1">
      <c r="A1991" s="4" t="s">
        <v>57</v>
      </c>
      <c r="B1991" s="4" t="str">
        <f>"2020047403"</f>
        <v>2020047403</v>
      </c>
      <c r="C1991" s="5">
        <v>79.099999999999994</v>
      </c>
      <c r="D1991" s="6">
        <v>78.5</v>
      </c>
      <c r="E1991" s="7">
        <f t="shared" si="31"/>
        <v>157.6</v>
      </c>
      <c r="F1991" s="8"/>
    </row>
    <row r="1992" spans="1:6" ht="18" customHeight="1">
      <c r="A1992" s="4" t="s">
        <v>57</v>
      </c>
      <c r="B1992" s="4" t="str">
        <f>"2020023807"</f>
        <v>2020023807</v>
      </c>
      <c r="C1992" s="5">
        <v>72</v>
      </c>
      <c r="D1992" s="6">
        <v>76</v>
      </c>
      <c r="E1992" s="7">
        <f t="shared" si="31"/>
        <v>148</v>
      </c>
      <c r="F1992" s="8"/>
    </row>
    <row r="1993" spans="1:6" ht="18" customHeight="1">
      <c r="A1993" s="4" t="s">
        <v>57</v>
      </c>
      <c r="B1993" s="4" t="str">
        <f>"2020023904"</f>
        <v>2020023904</v>
      </c>
      <c r="C1993" s="5">
        <v>73</v>
      </c>
      <c r="D1993" s="6">
        <v>74</v>
      </c>
      <c r="E1993" s="7">
        <f t="shared" si="31"/>
        <v>147</v>
      </c>
      <c r="F1993" s="8"/>
    </row>
    <row r="1994" spans="1:6" ht="18" customHeight="1">
      <c r="A1994" s="4" t="s">
        <v>57</v>
      </c>
      <c r="B1994" s="4" t="str">
        <f>"2020023305"</f>
        <v>2020023305</v>
      </c>
      <c r="C1994" s="5">
        <v>70.900000000000006</v>
      </c>
      <c r="D1994" s="6">
        <v>76</v>
      </c>
      <c r="E1994" s="7">
        <f t="shared" si="31"/>
        <v>146.9</v>
      </c>
      <c r="F1994" s="8"/>
    </row>
    <row r="1995" spans="1:6" ht="18" customHeight="1">
      <c r="A1995" s="4" t="s">
        <v>57</v>
      </c>
      <c r="B1995" s="4" t="str">
        <f>"2020030511"</f>
        <v>2020030511</v>
      </c>
      <c r="C1995" s="5">
        <v>72</v>
      </c>
      <c r="D1995" s="6">
        <v>70.5</v>
      </c>
      <c r="E1995" s="7">
        <f t="shared" si="31"/>
        <v>142.5</v>
      </c>
      <c r="F1995" s="8"/>
    </row>
    <row r="1996" spans="1:6" ht="18" customHeight="1">
      <c r="A1996" s="4" t="s">
        <v>57</v>
      </c>
      <c r="B1996" s="4" t="str">
        <f>"2020013404"</f>
        <v>2020013404</v>
      </c>
      <c r="C1996" s="5">
        <v>68.2</v>
      </c>
      <c r="D1996" s="6">
        <v>73.5</v>
      </c>
      <c r="E1996" s="7">
        <f t="shared" si="31"/>
        <v>141.69999999999999</v>
      </c>
      <c r="F1996" s="9" t="s">
        <v>13</v>
      </c>
    </row>
    <row r="1997" spans="1:6" ht="18" customHeight="1">
      <c r="A1997" s="4" t="s">
        <v>57</v>
      </c>
      <c r="B1997" s="4" t="str">
        <f>"2020044614"</f>
        <v>2020044614</v>
      </c>
      <c r="C1997" s="5">
        <v>69.2</v>
      </c>
      <c r="D1997" s="6">
        <v>68.5</v>
      </c>
      <c r="E1997" s="7">
        <f t="shared" si="31"/>
        <v>137.69999999999999</v>
      </c>
      <c r="F1997" s="8"/>
    </row>
    <row r="1998" spans="1:6" ht="18" customHeight="1">
      <c r="A1998" s="4" t="s">
        <v>57</v>
      </c>
      <c r="B1998" s="4" t="str">
        <f>"2020040314"</f>
        <v>2020040314</v>
      </c>
      <c r="C1998" s="5">
        <v>61.5</v>
      </c>
      <c r="D1998" s="6">
        <v>67</v>
      </c>
      <c r="E1998" s="7">
        <f t="shared" si="31"/>
        <v>128.5</v>
      </c>
      <c r="F1998" s="8"/>
    </row>
    <row r="1999" spans="1:6" ht="18" customHeight="1">
      <c r="A1999" s="4" t="s">
        <v>57</v>
      </c>
      <c r="B1999" s="4" t="str">
        <f>"2020010914"</f>
        <v>2020010914</v>
      </c>
      <c r="C1999" s="5">
        <v>62.4</v>
      </c>
      <c r="D1999" s="6">
        <v>66</v>
      </c>
      <c r="E1999" s="7">
        <f t="shared" si="31"/>
        <v>128.4</v>
      </c>
      <c r="F1999" s="8"/>
    </row>
    <row r="2000" spans="1:6" ht="18" customHeight="1">
      <c r="A2000" s="4" t="s">
        <v>57</v>
      </c>
      <c r="B2000" s="4" t="str">
        <f>"2020043107"</f>
        <v>2020043107</v>
      </c>
      <c r="C2000" s="5">
        <v>69.2</v>
      </c>
      <c r="D2000" s="6">
        <v>53</v>
      </c>
      <c r="E2000" s="7">
        <f t="shared" si="31"/>
        <v>122.2</v>
      </c>
      <c r="F2000" s="8"/>
    </row>
    <row r="2001" spans="1:6" ht="18" customHeight="1">
      <c r="A2001" s="4" t="s">
        <v>57</v>
      </c>
      <c r="B2001" s="4" t="str">
        <f>"2020011603"</f>
        <v>2020011603</v>
      </c>
      <c r="C2001" s="5">
        <v>58.8</v>
      </c>
      <c r="D2001" s="6">
        <v>38.5</v>
      </c>
      <c r="E2001" s="7">
        <f t="shared" si="31"/>
        <v>97.3</v>
      </c>
      <c r="F2001" s="8"/>
    </row>
    <row r="2002" spans="1:6" ht="18" customHeight="1">
      <c r="A2002" s="4" t="s">
        <v>57</v>
      </c>
      <c r="B2002" s="4" t="str">
        <f>"2020010728"</f>
        <v>2020010728</v>
      </c>
      <c r="C2002" s="5">
        <v>0</v>
      </c>
      <c r="D2002" s="6">
        <v>0</v>
      </c>
      <c r="E2002" s="7">
        <f t="shared" si="31"/>
        <v>0</v>
      </c>
      <c r="F2002" s="9" t="s">
        <v>8</v>
      </c>
    </row>
    <row r="2003" spans="1:6" ht="18" customHeight="1">
      <c r="A2003" s="4" t="s">
        <v>57</v>
      </c>
      <c r="B2003" s="4" t="str">
        <f>"2020023414"</f>
        <v>2020023414</v>
      </c>
      <c r="C2003" s="5">
        <v>0</v>
      </c>
      <c r="D2003" s="6">
        <v>0</v>
      </c>
      <c r="E2003" s="7">
        <f t="shared" si="31"/>
        <v>0</v>
      </c>
      <c r="F2003" s="8" t="s">
        <v>8</v>
      </c>
    </row>
    <row r="2004" spans="1:6" ht="18" customHeight="1">
      <c r="A2004" s="4" t="s">
        <v>57</v>
      </c>
      <c r="B2004" s="4" t="str">
        <f>"2020032918"</f>
        <v>2020032918</v>
      </c>
      <c r="C2004" s="5">
        <v>0</v>
      </c>
      <c r="D2004" s="6">
        <v>0</v>
      </c>
      <c r="E2004" s="7">
        <f t="shared" si="31"/>
        <v>0</v>
      </c>
      <c r="F2004" s="8" t="s">
        <v>8</v>
      </c>
    </row>
    <row r="2005" spans="1:6" ht="18" customHeight="1">
      <c r="A2005" s="4" t="s">
        <v>57</v>
      </c>
      <c r="B2005" s="4" t="str">
        <f>"2020046119"</f>
        <v>2020046119</v>
      </c>
      <c r="C2005" s="5">
        <v>0</v>
      </c>
      <c r="D2005" s="6">
        <v>0</v>
      </c>
      <c r="E2005" s="7">
        <f t="shared" si="31"/>
        <v>0</v>
      </c>
      <c r="F2005" s="8" t="s">
        <v>8</v>
      </c>
    </row>
    <row r="2006" spans="1:6" ht="18" customHeight="1">
      <c r="A2006" s="4" t="s">
        <v>57</v>
      </c>
      <c r="B2006" s="4" t="str">
        <f>"2020046813"</f>
        <v>2020046813</v>
      </c>
      <c r="C2006" s="5">
        <v>0</v>
      </c>
      <c r="D2006" s="6">
        <v>0</v>
      </c>
      <c r="E2006" s="7">
        <f t="shared" si="31"/>
        <v>0</v>
      </c>
      <c r="F2006" s="8" t="s">
        <v>8</v>
      </c>
    </row>
    <row r="2007" spans="1:6" ht="18" customHeight="1">
      <c r="A2007" s="4" t="s">
        <v>58</v>
      </c>
      <c r="B2007" s="4" t="str">
        <f>"2020042421"</f>
        <v>2020042421</v>
      </c>
      <c r="C2007" s="5">
        <v>73.099999999999994</v>
      </c>
      <c r="D2007" s="6">
        <v>86.5</v>
      </c>
      <c r="E2007" s="7">
        <f t="shared" si="31"/>
        <v>159.6</v>
      </c>
      <c r="F2007" s="8"/>
    </row>
    <row r="2008" spans="1:6" ht="18" customHeight="1">
      <c r="A2008" s="4" t="s">
        <v>58</v>
      </c>
      <c r="B2008" s="4" t="str">
        <f>"2020047415"</f>
        <v>2020047415</v>
      </c>
      <c r="C2008" s="5">
        <v>76.900000000000006</v>
      </c>
      <c r="D2008" s="6">
        <v>81.5</v>
      </c>
      <c r="E2008" s="7">
        <f t="shared" si="31"/>
        <v>158.4</v>
      </c>
      <c r="F2008" s="8"/>
    </row>
    <row r="2009" spans="1:6" ht="18" customHeight="1">
      <c r="A2009" s="4" t="s">
        <v>58</v>
      </c>
      <c r="B2009" s="4" t="str">
        <f>"2020032203"</f>
        <v>2020032203</v>
      </c>
      <c r="C2009" s="5">
        <v>68.599999999999994</v>
      </c>
      <c r="D2009" s="6">
        <v>86.5</v>
      </c>
      <c r="E2009" s="7">
        <f t="shared" si="31"/>
        <v>155.1</v>
      </c>
      <c r="F2009" s="8"/>
    </row>
    <row r="2010" spans="1:6" ht="18" customHeight="1">
      <c r="A2010" s="4" t="s">
        <v>58</v>
      </c>
      <c r="B2010" s="4" t="str">
        <f>"2020021408"</f>
        <v>2020021408</v>
      </c>
      <c r="C2010" s="5">
        <v>78.099999999999994</v>
      </c>
      <c r="D2010" s="6">
        <v>75</v>
      </c>
      <c r="E2010" s="7">
        <f t="shared" si="31"/>
        <v>153.1</v>
      </c>
      <c r="F2010" s="8"/>
    </row>
    <row r="2011" spans="1:6" ht="18" customHeight="1">
      <c r="A2011" s="4" t="s">
        <v>58</v>
      </c>
      <c r="B2011" s="4" t="str">
        <f>"2020033204"</f>
        <v>2020033204</v>
      </c>
      <c r="C2011" s="5">
        <v>70.099999999999994</v>
      </c>
      <c r="D2011" s="6">
        <v>82</v>
      </c>
      <c r="E2011" s="7">
        <f t="shared" si="31"/>
        <v>152.1</v>
      </c>
      <c r="F2011" s="8"/>
    </row>
    <row r="2012" spans="1:6" ht="18" customHeight="1">
      <c r="A2012" s="4" t="s">
        <v>58</v>
      </c>
      <c r="B2012" s="4" t="str">
        <f>"2020022805"</f>
        <v>2020022805</v>
      </c>
      <c r="C2012" s="5">
        <v>68.900000000000006</v>
      </c>
      <c r="D2012" s="6">
        <v>82</v>
      </c>
      <c r="E2012" s="7">
        <f t="shared" si="31"/>
        <v>150.9</v>
      </c>
      <c r="F2012" s="8"/>
    </row>
    <row r="2013" spans="1:6" ht="18" customHeight="1">
      <c r="A2013" s="4" t="s">
        <v>58</v>
      </c>
      <c r="B2013" s="4" t="str">
        <f>"2020043505"</f>
        <v>2020043505</v>
      </c>
      <c r="C2013" s="5">
        <v>70.7</v>
      </c>
      <c r="D2013" s="6">
        <v>80</v>
      </c>
      <c r="E2013" s="7">
        <f t="shared" si="31"/>
        <v>150.69999999999999</v>
      </c>
      <c r="F2013" s="8"/>
    </row>
    <row r="2014" spans="1:6" ht="18" customHeight="1">
      <c r="A2014" s="4" t="s">
        <v>58</v>
      </c>
      <c r="B2014" s="4" t="str">
        <f>"2020013910"</f>
        <v>2020013910</v>
      </c>
      <c r="C2014" s="5">
        <v>71.3</v>
      </c>
      <c r="D2014" s="6">
        <v>77</v>
      </c>
      <c r="E2014" s="7">
        <f t="shared" si="31"/>
        <v>148.30000000000001</v>
      </c>
      <c r="F2014" s="8"/>
    </row>
    <row r="2015" spans="1:6" ht="18" customHeight="1">
      <c r="A2015" s="4" t="s">
        <v>58</v>
      </c>
      <c r="B2015" s="4" t="str">
        <f>"2020032423"</f>
        <v>2020032423</v>
      </c>
      <c r="C2015" s="5">
        <v>73.7</v>
      </c>
      <c r="D2015" s="6">
        <v>74</v>
      </c>
      <c r="E2015" s="7">
        <f t="shared" si="31"/>
        <v>147.69999999999999</v>
      </c>
      <c r="F2015" s="8"/>
    </row>
    <row r="2016" spans="1:6" ht="18" customHeight="1">
      <c r="A2016" s="4" t="s">
        <v>58</v>
      </c>
      <c r="B2016" s="4" t="str">
        <f>"2020031304"</f>
        <v>2020031304</v>
      </c>
      <c r="C2016" s="5">
        <v>75</v>
      </c>
      <c r="D2016" s="6">
        <v>71.5</v>
      </c>
      <c r="E2016" s="7">
        <f t="shared" si="31"/>
        <v>146.5</v>
      </c>
      <c r="F2016" s="8"/>
    </row>
    <row r="2017" spans="1:6" ht="18" customHeight="1">
      <c r="A2017" s="4" t="s">
        <v>58</v>
      </c>
      <c r="B2017" s="4" t="str">
        <f>"2020020606"</f>
        <v>2020020606</v>
      </c>
      <c r="C2017" s="5">
        <v>67.5</v>
      </c>
      <c r="D2017" s="6">
        <v>78.5</v>
      </c>
      <c r="E2017" s="7">
        <f t="shared" si="31"/>
        <v>146</v>
      </c>
      <c r="F2017" s="8"/>
    </row>
    <row r="2018" spans="1:6" ht="18" customHeight="1">
      <c r="A2018" s="4" t="s">
        <v>58</v>
      </c>
      <c r="B2018" s="4" t="str">
        <f>"2020030223"</f>
        <v>2020030223</v>
      </c>
      <c r="C2018" s="5">
        <v>67</v>
      </c>
      <c r="D2018" s="6">
        <v>79</v>
      </c>
      <c r="E2018" s="7">
        <f t="shared" si="31"/>
        <v>146</v>
      </c>
      <c r="F2018" s="8"/>
    </row>
    <row r="2019" spans="1:6" ht="18" customHeight="1">
      <c r="A2019" s="4" t="s">
        <v>58</v>
      </c>
      <c r="B2019" s="4" t="str">
        <f>"2020040125"</f>
        <v>2020040125</v>
      </c>
      <c r="C2019" s="5">
        <v>67.099999999999994</v>
      </c>
      <c r="D2019" s="6">
        <v>78.5</v>
      </c>
      <c r="E2019" s="7">
        <f t="shared" si="31"/>
        <v>145.6</v>
      </c>
      <c r="F2019" s="8"/>
    </row>
    <row r="2020" spans="1:6" ht="18" customHeight="1">
      <c r="A2020" s="4" t="s">
        <v>58</v>
      </c>
      <c r="B2020" s="4" t="str">
        <f>"2020045915"</f>
        <v>2020045915</v>
      </c>
      <c r="C2020" s="5">
        <v>76.599999999999994</v>
      </c>
      <c r="D2020" s="6">
        <v>68</v>
      </c>
      <c r="E2020" s="7">
        <f t="shared" si="31"/>
        <v>144.6</v>
      </c>
      <c r="F2020" s="8"/>
    </row>
    <row r="2021" spans="1:6" ht="18" customHeight="1">
      <c r="A2021" s="4" t="s">
        <v>58</v>
      </c>
      <c r="B2021" s="4" t="str">
        <f>"2020012928"</f>
        <v>2020012928</v>
      </c>
      <c r="C2021" s="5">
        <v>68.099999999999994</v>
      </c>
      <c r="D2021" s="6">
        <v>76.5</v>
      </c>
      <c r="E2021" s="7">
        <f t="shared" si="31"/>
        <v>144.6</v>
      </c>
      <c r="F2021" s="8"/>
    </row>
    <row r="2022" spans="1:6" ht="18" customHeight="1">
      <c r="A2022" s="4" t="s">
        <v>58</v>
      </c>
      <c r="B2022" s="4" t="str">
        <f>"2020041518"</f>
        <v>2020041518</v>
      </c>
      <c r="C2022" s="5">
        <v>68.900000000000006</v>
      </c>
      <c r="D2022" s="6">
        <v>75.5</v>
      </c>
      <c r="E2022" s="7">
        <f t="shared" si="31"/>
        <v>144.4</v>
      </c>
      <c r="F2022" s="8"/>
    </row>
    <row r="2023" spans="1:6" ht="18" customHeight="1">
      <c r="A2023" s="4" t="s">
        <v>58</v>
      </c>
      <c r="B2023" s="4" t="str">
        <f>"2020022807"</f>
        <v>2020022807</v>
      </c>
      <c r="C2023" s="5">
        <v>66.400000000000006</v>
      </c>
      <c r="D2023" s="6">
        <v>78</v>
      </c>
      <c r="E2023" s="7">
        <f t="shared" si="31"/>
        <v>144.4</v>
      </c>
      <c r="F2023" s="8"/>
    </row>
    <row r="2024" spans="1:6" ht="18" customHeight="1">
      <c r="A2024" s="4" t="s">
        <v>58</v>
      </c>
      <c r="B2024" s="4" t="str">
        <f>"2020024203"</f>
        <v>2020024203</v>
      </c>
      <c r="C2024" s="5">
        <v>72.099999999999994</v>
      </c>
      <c r="D2024" s="6">
        <v>72</v>
      </c>
      <c r="E2024" s="7">
        <f t="shared" si="31"/>
        <v>144.1</v>
      </c>
      <c r="F2024" s="8"/>
    </row>
    <row r="2025" spans="1:6" ht="18" customHeight="1">
      <c r="A2025" s="4" t="s">
        <v>58</v>
      </c>
      <c r="B2025" s="4" t="str">
        <f>"2020023203"</f>
        <v>2020023203</v>
      </c>
      <c r="C2025" s="5">
        <v>69.3</v>
      </c>
      <c r="D2025" s="6">
        <v>73</v>
      </c>
      <c r="E2025" s="7">
        <f t="shared" si="31"/>
        <v>142.30000000000001</v>
      </c>
      <c r="F2025" s="8"/>
    </row>
    <row r="2026" spans="1:6" ht="18" customHeight="1">
      <c r="A2026" s="4" t="s">
        <v>58</v>
      </c>
      <c r="B2026" s="4" t="str">
        <f>"2020044029"</f>
        <v>2020044029</v>
      </c>
      <c r="C2026" s="5">
        <v>66.8</v>
      </c>
      <c r="D2026" s="6">
        <v>75.5</v>
      </c>
      <c r="E2026" s="7">
        <f t="shared" si="31"/>
        <v>142.30000000000001</v>
      </c>
      <c r="F2026" s="8"/>
    </row>
    <row r="2027" spans="1:6" ht="18" customHeight="1">
      <c r="A2027" s="4" t="s">
        <v>58</v>
      </c>
      <c r="B2027" s="4" t="str">
        <f>"2020043906"</f>
        <v>2020043906</v>
      </c>
      <c r="C2027" s="5">
        <v>72.3</v>
      </c>
      <c r="D2027" s="6">
        <v>69.5</v>
      </c>
      <c r="E2027" s="7">
        <f t="shared" si="31"/>
        <v>141.80000000000001</v>
      </c>
      <c r="F2027" s="8"/>
    </row>
    <row r="2028" spans="1:6" ht="18" customHeight="1">
      <c r="A2028" s="4" t="s">
        <v>58</v>
      </c>
      <c r="B2028" s="4" t="str">
        <f>"2020030111"</f>
        <v>2020030111</v>
      </c>
      <c r="C2028" s="5">
        <v>67.2</v>
      </c>
      <c r="D2028" s="6">
        <v>73.5</v>
      </c>
      <c r="E2028" s="7">
        <f t="shared" si="31"/>
        <v>140.69999999999999</v>
      </c>
      <c r="F2028" s="8"/>
    </row>
    <row r="2029" spans="1:6" ht="18" customHeight="1">
      <c r="A2029" s="4" t="s">
        <v>58</v>
      </c>
      <c r="B2029" s="4" t="str">
        <f>"2020043619"</f>
        <v>2020043619</v>
      </c>
      <c r="C2029" s="5">
        <v>72.400000000000006</v>
      </c>
      <c r="D2029" s="6">
        <v>67.5</v>
      </c>
      <c r="E2029" s="7">
        <f t="shared" si="31"/>
        <v>139.9</v>
      </c>
      <c r="F2029" s="8"/>
    </row>
    <row r="2030" spans="1:6" ht="18" customHeight="1">
      <c r="A2030" s="4" t="s">
        <v>58</v>
      </c>
      <c r="B2030" s="4" t="str">
        <f>"2020031922"</f>
        <v>2020031922</v>
      </c>
      <c r="C2030" s="5">
        <v>67.599999999999994</v>
      </c>
      <c r="D2030" s="6">
        <v>72</v>
      </c>
      <c r="E2030" s="7">
        <f t="shared" si="31"/>
        <v>139.6</v>
      </c>
      <c r="F2030" s="8"/>
    </row>
    <row r="2031" spans="1:6" ht="18" customHeight="1">
      <c r="A2031" s="4" t="s">
        <v>58</v>
      </c>
      <c r="B2031" s="4" t="str">
        <f>"2020024408"</f>
        <v>2020024408</v>
      </c>
      <c r="C2031" s="5">
        <v>61.9</v>
      </c>
      <c r="D2031" s="6">
        <v>77.5</v>
      </c>
      <c r="E2031" s="7">
        <f t="shared" si="31"/>
        <v>139.4</v>
      </c>
      <c r="F2031" s="8"/>
    </row>
    <row r="2032" spans="1:6" ht="18" customHeight="1">
      <c r="A2032" s="4" t="s">
        <v>58</v>
      </c>
      <c r="B2032" s="4" t="str">
        <f>"2020046209"</f>
        <v>2020046209</v>
      </c>
      <c r="C2032" s="5">
        <v>68.599999999999994</v>
      </c>
      <c r="D2032" s="6">
        <v>68.5</v>
      </c>
      <c r="E2032" s="7">
        <f t="shared" si="31"/>
        <v>137.1</v>
      </c>
      <c r="F2032" s="8"/>
    </row>
    <row r="2033" spans="1:6" ht="18" customHeight="1">
      <c r="A2033" s="4" t="s">
        <v>58</v>
      </c>
      <c r="B2033" s="4" t="str">
        <f>"2020043905"</f>
        <v>2020043905</v>
      </c>
      <c r="C2033" s="5">
        <v>63.3</v>
      </c>
      <c r="D2033" s="6">
        <v>72.5</v>
      </c>
      <c r="E2033" s="7">
        <f t="shared" si="31"/>
        <v>135.80000000000001</v>
      </c>
      <c r="F2033" s="8"/>
    </row>
    <row r="2034" spans="1:6" ht="18" customHeight="1">
      <c r="A2034" s="4" t="s">
        <v>58</v>
      </c>
      <c r="B2034" s="4" t="str">
        <f>"2020022725"</f>
        <v>2020022725</v>
      </c>
      <c r="C2034" s="5">
        <v>68.3</v>
      </c>
      <c r="D2034" s="6">
        <v>66.5</v>
      </c>
      <c r="E2034" s="7">
        <f t="shared" si="31"/>
        <v>134.80000000000001</v>
      </c>
      <c r="F2034" s="8"/>
    </row>
    <row r="2035" spans="1:6" ht="18" customHeight="1">
      <c r="A2035" s="4" t="s">
        <v>58</v>
      </c>
      <c r="B2035" s="4" t="str">
        <f>"2020044822"</f>
        <v>2020044822</v>
      </c>
      <c r="C2035" s="5">
        <v>66.099999999999994</v>
      </c>
      <c r="D2035" s="6">
        <v>68</v>
      </c>
      <c r="E2035" s="7">
        <f t="shared" si="31"/>
        <v>134.1</v>
      </c>
      <c r="F2035" s="8"/>
    </row>
    <row r="2036" spans="1:6" ht="18" customHeight="1">
      <c r="A2036" s="4" t="s">
        <v>58</v>
      </c>
      <c r="B2036" s="4" t="str">
        <f>"2020020722"</f>
        <v>2020020722</v>
      </c>
      <c r="C2036" s="5">
        <v>66.400000000000006</v>
      </c>
      <c r="D2036" s="6">
        <v>67.5</v>
      </c>
      <c r="E2036" s="7">
        <f t="shared" si="31"/>
        <v>133.9</v>
      </c>
      <c r="F2036" s="8"/>
    </row>
    <row r="2037" spans="1:6" ht="18" customHeight="1">
      <c r="A2037" s="4" t="s">
        <v>58</v>
      </c>
      <c r="B2037" s="4" t="str">
        <f>"2020033828"</f>
        <v>2020033828</v>
      </c>
      <c r="C2037" s="5">
        <v>69.8</v>
      </c>
      <c r="D2037" s="6">
        <v>64</v>
      </c>
      <c r="E2037" s="7">
        <f t="shared" si="31"/>
        <v>133.80000000000001</v>
      </c>
      <c r="F2037" s="8"/>
    </row>
    <row r="2038" spans="1:6" ht="18" customHeight="1">
      <c r="A2038" s="4" t="s">
        <v>58</v>
      </c>
      <c r="B2038" s="4" t="str">
        <f>"2020020101"</f>
        <v>2020020101</v>
      </c>
      <c r="C2038" s="5">
        <v>61.7</v>
      </c>
      <c r="D2038" s="6">
        <v>72</v>
      </c>
      <c r="E2038" s="7">
        <f t="shared" si="31"/>
        <v>133.69999999999999</v>
      </c>
      <c r="F2038" s="8"/>
    </row>
    <row r="2039" spans="1:6" ht="18" customHeight="1">
      <c r="A2039" s="4" t="s">
        <v>58</v>
      </c>
      <c r="B2039" s="4" t="str">
        <f>"2020041022"</f>
        <v>2020041022</v>
      </c>
      <c r="C2039" s="5">
        <v>69.7</v>
      </c>
      <c r="D2039" s="6">
        <v>63.5</v>
      </c>
      <c r="E2039" s="7">
        <f t="shared" si="31"/>
        <v>133.19999999999999</v>
      </c>
      <c r="F2039" s="8"/>
    </row>
    <row r="2040" spans="1:6" ht="18" customHeight="1">
      <c r="A2040" s="4" t="s">
        <v>58</v>
      </c>
      <c r="B2040" s="4" t="str">
        <f>"2020011106"</f>
        <v>2020011106</v>
      </c>
      <c r="C2040" s="5">
        <v>67.3</v>
      </c>
      <c r="D2040" s="6">
        <v>64</v>
      </c>
      <c r="E2040" s="7">
        <f t="shared" si="31"/>
        <v>131.30000000000001</v>
      </c>
      <c r="F2040" s="8"/>
    </row>
    <row r="2041" spans="1:6" ht="18" customHeight="1">
      <c r="A2041" s="4" t="s">
        <v>58</v>
      </c>
      <c r="B2041" s="4" t="str">
        <f>"2020031916"</f>
        <v>2020031916</v>
      </c>
      <c r="C2041" s="5">
        <v>66</v>
      </c>
      <c r="D2041" s="6">
        <v>65</v>
      </c>
      <c r="E2041" s="7">
        <f t="shared" si="31"/>
        <v>131</v>
      </c>
      <c r="F2041" s="8"/>
    </row>
    <row r="2042" spans="1:6" ht="18" customHeight="1">
      <c r="A2042" s="4" t="s">
        <v>58</v>
      </c>
      <c r="B2042" s="4" t="str">
        <f>"2020010108"</f>
        <v>2020010108</v>
      </c>
      <c r="C2042" s="5">
        <v>66.599999999999994</v>
      </c>
      <c r="D2042" s="6">
        <v>63</v>
      </c>
      <c r="E2042" s="7">
        <f t="shared" si="31"/>
        <v>129.6</v>
      </c>
      <c r="F2042" s="8"/>
    </row>
    <row r="2043" spans="1:6" ht="18" customHeight="1">
      <c r="A2043" s="4" t="s">
        <v>58</v>
      </c>
      <c r="B2043" s="4" t="str">
        <f>"2020021619"</f>
        <v>2020021619</v>
      </c>
      <c r="C2043" s="5">
        <v>52.3</v>
      </c>
      <c r="D2043" s="6">
        <v>76.5</v>
      </c>
      <c r="E2043" s="7">
        <f t="shared" si="31"/>
        <v>128.80000000000001</v>
      </c>
      <c r="F2043" s="8"/>
    </row>
    <row r="2044" spans="1:6" ht="18" customHeight="1">
      <c r="A2044" s="4" t="s">
        <v>58</v>
      </c>
      <c r="B2044" s="4" t="str">
        <f>"2020044626"</f>
        <v>2020044626</v>
      </c>
      <c r="C2044" s="5">
        <v>63.1</v>
      </c>
      <c r="D2044" s="6">
        <v>65</v>
      </c>
      <c r="E2044" s="7">
        <f t="shared" si="31"/>
        <v>128.1</v>
      </c>
      <c r="F2044" s="8"/>
    </row>
    <row r="2045" spans="1:6" ht="18" customHeight="1">
      <c r="A2045" s="4" t="s">
        <v>58</v>
      </c>
      <c r="B2045" s="4" t="str">
        <f>"2020021822"</f>
        <v>2020021822</v>
      </c>
      <c r="C2045" s="5">
        <v>62</v>
      </c>
      <c r="D2045" s="6">
        <v>66</v>
      </c>
      <c r="E2045" s="7">
        <f t="shared" si="31"/>
        <v>128</v>
      </c>
      <c r="F2045" s="8"/>
    </row>
    <row r="2046" spans="1:6" ht="18" customHeight="1">
      <c r="A2046" s="4" t="s">
        <v>58</v>
      </c>
      <c r="B2046" s="4" t="str">
        <f>"2020044930"</f>
        <v>2020044930</v>
      </c>
      <c r="C2046" s="5">
        <v>65.8</v>
      </c>
      <c r="D2046" s="6">
        <v>61.5</v>
      </c>
      <c r="E2046" s="7">
        <f t="shared" si="31"/>
        <v>127.3</v>
      </c>
      <c r="F2046" s="8"/>
    </row>
    <row r="2047" spans="1:6" ht="18" customHeight="1">
      <c r="A2047" s="4" t="s">
        <v>58</v>
      </c>
      <c r="B2047" s="4" t="str">
        <f>"2020045404"</f>
        <v>2020045404</v>
      </c>
      <c r="C2047" s="5">
        <v>66.599999999999994</v>
      </c>
      <c r="D2047" s="6">
        <v>60.5</v>
      </c>
      <c r="E2047" s="7">
        <f t="shared" si="31"/>
        <v>127.1</v>
      </c>
      <c r="F2047" s="8"/>
    </row>
    <row r="2048" spans="1:6" ht="18" customHeight="1">
      <c r="A2048" s="4" t="s">
        <v>58</v>
      </c>
      <c r="B2048" s="4" t="str">
        <f>"2020011701"</f>
        <v>2020011701</v>
      </c>
      <c r="C2048" s="5">
        <v>61</v>
      </c>
      <c r="D2048" s="6">
        <v>65</v>
      </c>
      <c r="E2048" s="7">
        <f t="shared" si="31"/>
        <v>126</v>
      </c>
      <c r="F2048" s="8"/>
    </row>
    <row r="2049" spans="1:6" ht="18" customHeight="1">
      <c r="A2049" s="4" t="s">
        <v>58</v>
      </c>
      <c r="B2049" s="4" t="str">
        <f>"2020012522"</f>
        <v>2020012522</v>
      </c>
      <c r="C2049" s="5">
        <v>71.099999999999994</v>
      </c>
      <c r="D2049" s="6">
        <v>54.5</v>
      </c>
      <c r="E2049" s="7">
        <f t="shared" si="31"/>
        <v>125.6</v>
      </c>
      <c r="F2049" s="8"/>
    </row>
    <row r="2050" spans="1:6" ht="18" customHeight="1">
      <c r="A2050" s="4" t="s">
        <v>58</v>
      </c>
      <c r="B2050" s="4" t="str">
        <f>"2020043802"</f>
        <v>2020043802</v>
      </c>
      <c r="C2050" s="5">
        <v>61.9</v>
      </c>
      <c r="D2050" s="6">
        <v>57.5</v>
      </c>
      <c r="E2050" s="7">
        <f t="shared" si="31"/>
        <v>119.4</v>
      </c>
      <c r="F2050" s="8"/>
    </row>
    <row r="2051" spans="1:6" ht="18" customHeight="1">
      <c r="A2051" s="4" t="s">
        <v>58</v>
      </c>
      <c r="B2051" s="4" t="str">
        <f>"2020012220"</f>
        <v>2020012220</v>
      </c>
      <c r="C2051" s="5">
        <v>56.7</v>
      </c>
      <c r="D2051" s="6">
        <v>57</v>
      </c>
      <c r="E2051" s="7">
        <f t="shared" ref="E2051:E2114" si="32">SUM(C2051:D2051)</f>
        <v>113.7</v>
      </c>
      <c r="F2051" s="8"/>
    </row>
    <row r="2052" spans="1:6" ht="18" customHeight="1">
      <c r="A2052" s="4" t="s">
        <v>58</v>
      </c>
      <c r="B2052" s="4" t="str">
        <f>"2020031421"</f>
        <v>2020031421</v>
      </c>
      <c r="C2052" s="5">
        <v>62.4</v>
      </c>
      <c r="D2052" s="6">
        <v>49.5</v>
      </c>
      <c r="E2052" s="7">
        <f t="shared" si="32"/>
        <v>111.9</v>
      </c>
      <c r="F2052" s="8"/>
    </row>
    <row r="2053" spans="1:6" ht="18" customHeight="1">
      <c r="A2053" s="4" t="s">
        <v>58</v>
      </c>
      <c r="B2053" s="4" t="str">
        <f>"2020010320"</f>
        <v>2020010320</v>
      </c>
      <c r="C2053" s="5">
        <v>0</v>
      </c>
      <c r="D2053" s="6">
        <v>0</v>
      </c>
      <c r="E2053" s="7">
        <f t="shared" si="32"/>
        <v>0</v>
      </c>
      <c r="F2053" s="9" t="s">
        <v>8</v>
      </c>
    </row>
    <row r="2054" spans="1:6" ht="18" customHeight="1">
      <c r="A2054" s="4" t="s">
        <v>58</v>
      </c>
      <c r="B2054" s="4" t="str">
        <f>"2020011027"</f>
        <v>2020011027</v>
      </c>
      <c r="C2054" s="5">
        <v>0</v>
      </c>
      <c r="D2054" s="6">
        <v>0</v>
      </c>
      <c r="E2054" s="7">
        <f t="shared" si="32"/>
        <v>0</v>
      </c>
      <c r="F2054" s="9" t="s">
        <v>8</v>
      </c>
    </row>
    <row r="2055" spans="1:6" ht="18" customHeight="1">
      <c r="A2055" s="4" t="s">
        <v>58</v>
      </c>
      <c r="B2055" s="4" t="str">
        <f>"2020011201"</f>
        <v>2020011201</v>
      </c>
      <c r="C2055" s="5">
        <v>0</v>
      </c>
      <c r="D2055" s="6">
        <v>0</v>
      </c>
      <c r="E2055" s="7">
        <f t="shared" si="32"/>
        <v>0</v>
      </c>
      <c r="F2055" s="9" t="s">
        <v>8</v>
      </c>
    </row>
    <row r="2056" spans="1:6" ht="18" customHeight="1">
      <c r="A2056" s="4" t="s">
        <v>58</v>
      </c>
      <c r="B2056" s="4" t="str">
        <f>"2020011330"</f>
        <v>2020011330</v>
      </c>
      <c r="C2056" s="5">
        <v>0</v>
      </c>
      <c r="D2056" s="6">
        <v>0</v>
      </c>
      <c r="E2056" s="7">
        <f t="shared" si="32"/>
        <v>0</v>
      </c>
      <c r="F2056" s="9" t="s">
        <v>8</v>
      </c>
    </row>
    <row r="2057" spans="1:6" ht="18" customHeight="1">
      <c r="A2057" s="4" t="s">
        <v>58</v>
      </c>
      <c r="B2057" s="4" t="str">
        <f>"2020020106"</f>
        <v>2020020106</v>
      </c>
      <c r="C2057" s="5">
        <v>0</v>
      </c>
      <c r="D2057" s="6">
        <v>0</v>
      </c>
      <c r="E2057" s="7">
        <f t="shared" si="32"/>
        <v>0</v>
      </c>
      <c r="F2057" s="8" t="s">
        <v>8</v>
      </c>
    </row>
    <row r="2058" spans="1:6" ht="18" customHeight="1">
      <c r="A2058" s="4" t="s">
        <v>58</v>
      </c>
      <c r="B2058" s="4" t="str">
        <f>"2020022611"</f>
        <v>2020022611</v>
      </c>
      <c r="C2058" s="5">
        <v>0</v>
      </c>
      <c r="D2058" s="6">
        <v>0</v>
      </c>
      <c r="E2058" s="7">
        <f t="shared" si="32"/>
        <v>0</v>
      </c>
      <c r="F2058" s="8" t="s">
        <v>8</v>
      </c>
    </row>
    <row r="2059" spans="1:6" ht="18" customHeight="1">
      <c r="A2059" s="4" t="s">
        <v>58</v>
      </c>
      <c r="B2059" s="4" t="str">
        <f>"2020030403"</f>
        <v>2020030403</v>
      </c>
      <c r="C2059" s="5">
        <v>0</v>
      </c>
      <c r="D2059" s="6">
        <v>0</v>
      </c>
      <c r="E2059" s="7">
        <f t="shared" si="32"/>
        <v>0</v>
      </c>
      <c r="F2059" s="8" t="s">
        <v>8</v>
      </c>
    </row>
    <row r="2060" spans="1:6" ht="18" customHeight="1">
      <c r="A2060" s="4" t="s">
        <v>58</v>
      </c>
      <c r="B2060" s="4" t="str">
        <f>"2020030630"</f>
        <v>2020030630</v>
      </c>
      <c r="C2060" s="5">
        <v>0</v>
      </c>
      <c r="D2060" s="6">
        <v>0</v>
      </c>
      <c r="E2060" s="7">
        <f t="shared" si="32"/>
        <v>0</v>
      </c>
      <c r="F2060" s="8" t="s">
        <v>8</v>
      </c>
    </row>
    <row r="2061" spans="1:6" ht="18" customHeight="1">
      <c r="A2061" s="4" t="s">
        <v>58</v>
      </c>
      <c r="B2061" s="4" t="str">
        <f>"2020033101"</f>
        <v>2020033101</v>
      </c>
      <c r="C2061" s="5">
        <v>0</v>
      </c>
      <c r="D2061" s="6">
        <v>0</v>
      </c>
      <c r="E2061" s="7">
        <f t="shared" si="32"/>
        <v>0</v>
      </c>
      <c r="F2061" s="8" t="s">
        <v>8</v>
      </c>
    </row>
    <row r="2062" spans="1:6" ht="18" customHeight="1">
      <c r="A2062" s="4" t="s">
        <v>58</v>
      </c>
      <c r="B2062" s="4" t="str">
        <f>"2020042025"</f>
        <v>2020042025</v>
      </c>
      <c r="C2062" s="5">
        <v>0</v>
      </c>
      <c r="D2062" s="6">
        <v>0</v>
      </c>
      <c r="E2062" s="7">
        <f t="shared" si="32"/>
        <v>0</v>
      </c>
      <c r="F2062" s="8" t="s">
        <v>8</v>
      </c>
    </row>
    <row r="2063" spans="1:6" ht="18" customHeight="1">
      <c r="A2063" s="4" t="s">
        <v>58</v>
      </c>
      <c r="B2063" s="4" t="str">
        <f>"2020044122"</f>
        <v>2020044122</v>
      </c>
      <c r="C2063" s="5">
        <v>0</v>
      </c>
      <c r="D2063" s="6">
        <v>0</v>
      </c>
      <c r="E2063" s="7">
        <f t="shared" si="32"/>
        <v>0</v>
      </c>
      <c r="F2063" s="8" t="s">
        <v>8</v>
      </c>
    </row>
    <row r="2064" spans="1:6" ht="18" customHeight="1">
      <c r="A2064" s="4" t="s">
        <v>58</v>
      </c>
      <c r="B2064" s="4" t="str">
        <f>"2020045224"</f>
        <v>2020045224</v>
      </c>
      <c r="C2064" s="5">
        <v>0</v>
      </c>
      <c r="D2064" s="6">
        <v>0</v>
      </c>
      <c r="E2064" s="7">
        <f t="shared" si="32"/>
        <v>0</v>
      </c>
      <c r="F2064" s="8" t="s">
        <v>8</v>
      </c>
    </row>
    <row r="2065" spans="1:6" ht="18" customHeight="1">
      <c r="A2065" s="4" t="s">
        <v>58</v>
      </c>
      <c r="B2065" s="4" t="str">
        <f>"2020047522"</f>
        <v>2020047522</v>
      </c>
      <c r="C2065" s="5">
        <v>0</v>
      </c>
      <c r="D2065" s="6">
        <v>0</v>
      </c>
      <c r="E2065" s="7">
        <f t="shared" si="32"/>
        <v>0</v>
      </c>
      <c r="F2065" s="8" t="s">
        <v>8</v>
      </c>
    </row>
    <row r="2066" spans="1:6" ht="18" customHeight="1">
      <c r="A2066" s="4" t="s">
        <v>58</v>
      </c>
      <c r="B2066" s="4" t="str">
        <f>"2020047526"</f>
        <v>2020047526</v>
      </c>
      <c r="C2066" s="5">
        <v>0</v>
      </c>
      <c r="D2066" s="6">
        <v>0</v>
      </c>
      <c r="E2066" s="7">
        <f t="shared" si="32"/>
        <v>0</v>
      </c>
      <c r="F2066" s="8" t="s">
        <v>8</v>
      </c>
    </row>
    <row r="2067" spans="1:6" ht="18" customHeight="1">
      <c r="A2067" s="4" t="s">
        <v>59</v>
      </c>
      <c r="B2067" s="4" t="str">
        <f>"2020032820"</f>
        <v>2020032820</v>
      </c>
      <c r="C2067" s="5">
        <v>70</v>
      </c>
      <c r="D2067" s="6">
        <v>83</v>
      </c>
      <c r="E2067" s="7">
        <f t="shared" si="32"/>
        <v>153</v>
      </c>
      <c r="F2067" s="8"/>
    </row>
    <row r="2068" spans="1:6" ht="18" customHeight="1">
      <c r="A2068" s="4" t="s">
        <v>59</v>
      </c>
      <c r="B2068" s="4" t="str">
        <f>"2020045614"</f>
        <v>2020045614</v>
      </c>
      <c r="C2068" s="5">
        <v>74.5</v>
      </c>
      <c r="D2068" s="6">
        <v>75.5</v>
      </c>
      <c r="E2068" s="7">
        <f t="shared" si="32"/>
        <v>150</v>
      </c>
      <c r="F2068" s="8"/>
    </row>
    <row r="2069" spans="1:6" ht="18" customHeight="1">
      <c r="A2069" s="4" t="s">
        <v>59</v>
      </c>
      <c r="B2069" s="4" t="str">
        <f>"2020045714"</f>
        <v>2020045714</v>
      </c>
      <c r="C2069" s="5">
        <v>67.3</v>
      </c>
      <c r="D2069" s="6">
        <v>78</v>
      </c>
      <c r="E2069" s="7">
        <f t="shared" si="32"/>
        <v>145.30000000000001</v>
      </c>
      <c r="F2069" s="8"/>
    </row>
    <row r="2070" spans="1:6" ht="18" customHeight="1">
      <c r="A2070" s="4" t="s">
        <v>59</v>
      </c>
      <c r="B2070" s="4" t="str">
        <f>"2020040223"</f>
        <v>2020040223</v>
      </c>
      <c r="C2070" s="5">
        <v>73</v>
      </c>
      <c r="D2070" s="6">
        <v>69</v>
      </c>
      <c r="E2070" s="7">
        <f t="shared" si="32"/>
        <v>142</v>
      </c>
      <c r="F2070" s="8"/>
    </row>
    <row r="2071" spans="1:6" ht="18" customHeight="1">
      <c r="A2071" s="4" t="s">
        <v>59</v>
      </c>
      <c r="B2071" s="4" t="str">
        <f>"2020041720"</f>
        <v>2020041720</v>
      </c>
      <c r="C2071" s="5">
        <v>68.2</v>
      </c>
      <c r="D2071" s="6">
        <v>71.5</v>
      </c>
      <c r="E2071" s="7">
        <f t="shared" si="32"/>
        <v>139.69999999999999</v>
      </c>
      <c r="F2071" s="8"/>
    </row>
    <row r="2072" spans="1:6" ht="18" customHeight="1">
      <c r="A2072" s="4" t="s">
        <v>59</v>
      </c>
      <c r="B2072" s="4" t="str">
        <f>"2020030330"</f>
        <v>2020030330</v>
      </c>
      <c r="C2072" s="5">
        <v>75.2</v>
      </c>
      <c r="D2072" s="6">
        <v>63.5</v>
      </c>
      <c r="E2072" s="7">
        <f t="shared" si="32"/>
        <v>138.69999999999999</v>
      </c>
      <c r="F2072" s="8"/>
    </row>
    <row r="2073" spans="1:6" ht="18" customHeight="1">
      <c r="A2073" s="4" t="s">
        <v>59</v>
      </c>
      <c r="B2073" s="4" t="str">
        <f>"2020030804"</f>
        <v>2020030804</v>
      </c>
      <c r="C2073" s="5">
        <v>77.5</v>
      </c>
      <c r="D2073" s="6">
        <v>61</v>
      </c>
      <c r="E2073" s="7">
        <f t="shared" si="32"/>
        <v>138.5</v>
      </c>
      <c r="F2073" s="8"/>
    </row>
    <row r="2074" spans="1:6" ht="18" customHeight="1">
      <c r="A2074" s="4" t="s">
        <v>59</v>
      </c>
      <c r="B2074" s="4" t="str">
        <f>"2020023023"</f>
        <v>2020023023</v>
      </c>
      <c r="C2074" s="5">
        <v>68.900000000000006</v>
      </c>
      <c r="D2074" s="6">
        <v>67.5</v>
      </c>
      <c r="E2074" s="7">
        <f t="shared" si="32"/>
        <v>136.4</v>
      </c>
      <c r="F2074" s="8"/>
    </row>
    <row r="2075" spans="1:6" ht="18" customHeight="1">
      <c r="A2075" s="4" t="s">
        <v>59</v>
      </c>
      <c r="B2075" s="4" t="str">
        <f>"2020024001"</f>
        <v>2020024001</v>
      </c>
      <c r="C2075" s="5">
        <v>69.7</v>
      </c>
      <c r="D2075" s="6">
        <v>66.5</v>
      </c>
      <c r="E2075" s="7">
        <f t="shared" si="32"/>
        <v>136.19999999999999</v>
      </c>
      <c r="F2075" s="9" t="s">
        <v>13</v>
      </c>
    </row>
    <row r="2076" spans="1:6" ht="18" customHeight="1">
      <c r="A2076" s="4" t="s">
        <v>59</v>
      </c>
      <c r="B2076" s="4" t="str">
        <f>"2020031929"</f>
        <v>2020031929</v>
      </c>
      <c r="C2076" s="5">
        <v>69.7</v>
      </c>
      <c r="D2076" s="6">
        <v>65.5</v>
      </c>
      <c r="E2076" s="7">
        <f t="shared" si="32"/>
        <v>135.19999999999999</v>
      </c>
      <c r="F2076" s="8"/>
    </row>
    <row r="2077" spans="1:6" ht="18" customHeight="1">
      <c r="A2077" s="4" t="s">
        <v>59</v>
      </c>
      <c r="B2077" s="4" t="str">
        <f>"2020031614"</f>
        <v>2020031614</v>
      </c>
      <c r="C2077" s="5">
        <v>62.5</v>
      </c>
      <c r="D2077" s="6">
        <v>71.5</v>
      </c>
      <c r="E2077" s="7">
        <f t="shared" si="32"/>
        <v>134</v>
      </c>
      <c r="F2077" s="8"/>
    </row>
    <row r="2078" spans="1:6" ht="18" customHeight="1">
      <c r="A2078" s="4" t="s">
        <v>59</v>
      </c>
      <c r="B2078" s="4" t="str">
        <f>"2020024527"</f>
        <v>2020024527</v>
      </c>
      <c r="C2078" s="5">
        <v>74.8</v>
      </c>
      <c r="D2078" s="6">
        <v>59</v>
      </c>
      <c r="E2078" s="7">
        <f t="shared" si="32"/>
        <v>133.80000000000001</v>
      </c>
      <c r="F2078" s="8"/>
    </row>
    <row r="2079" spans="1:6" ht="18" customHeight="1">
      <c r="A2079" s="4" t="s">
        <v>59</v>
      </c>
      <c r="B2079" s="4" t="str">
        <f>"2020043012"</f>
        <v>2020043012</v>
      </c>
      <c r="C2079" s="5">
        <v>65</v>
      </c>
      <c r="D2079" s="6">
        <v>68.5</v>
      </c>
      <c r="E2079" s="7">
        <f t="shared" si="32"/>
        <v>133.5</v>
      </c>
      <c r="F2079" s="8"/>
    </row>
    <row r="2080" spans="1:6" ht="18" customHeight="1">
      <c r="A2080" s="4" t="s">
        <v>59</v>
      </c>
      <c r="B2080" s="4" t="str">
        <f>"2020031206"</f>
        <v>2020031206</v>
      </c>
      <c r="C2080" s="5">
        <v>70.3</v>
      </c>
      <c r="D2080" s="6">
        <v>62.5</v>
      </c>
      <c r="E2080" s="7">
        <f t="shared" si="32"/>
        <v>132.80000000000001</v>
      </c>
      <c r="F2080" s="8"/>
    </row>
    <row r="2081" spans="1:6" ht="18" customHeight="1">
      <c r="A2081" s="4" t="s">
        <v>59</v>
      </c>
      <c r="B2081" s="4" t="str">
        <f>"2020021612"</f>
        <v>2020021612</v>
      </c>
      <c r="C2081" s="5">
        <v>66.5</v>
      </c>
      <c r="D2081" s="6">
        <v>66</v>
      </c>
      <c r="E2081" s="7">
        <f t="shared" si="32"/>
        <v>132.5</v>
      </c>
      <c r="F2081" s="8"/>
    </row>
    <row r="2082" spans="1:6" ht="18" customHeight="1">
      <c r="A2082" s="4" t="s">
        <v>59</v>
      </c>
      <c r="B2082" s="4" t="str">
        <f>"2020011010"</f>
        <v>2020011010</v>
      </c>
      <c r="C2082" s="5">
        <v>70.900000000000006</v>
      </c>
      <c r="D2082" s="6">
        <v>61</v>
      </c>
      <c r="E2082" s="7">
        <f t="shared" si="32"/>
        <v>131.9</v>
      </c>
      <c r="F2082" s="8"/>
    </row>
    <row r="2083" spans="1:6" ht="18" customHeight="1">
      <c r="A2083" s="4" t="s">
        <v>59</v>
      </c>
      <c r="B2083" s="4" t="str">
        <f>"2020014008"</f>
        <v>2020014008</v>
      </c>
      <c r="C2083" s="5">
        <v>70.400000000000006</v>
      </c>
      <c r="D2083" s="6">
        <v>61.5</v>
      </c>
      <c r="E2083" s="7">
        <f t="shared" si="32"/>
        <v>131.9</v>
      </c>
      <c r="F2083" s="8"/>
    </row>
    <row r="2084" spans="1:6" ht="18" customHeight="1">
      <c r="A2084" s="4" t="s">
        <v>59</v>
      </c>
      <c r="B2084" s="4" t="str">
        <f>"2020022730"</f>
        <v>2020022730</v>
      </c>
      <c r="C2084" s="5">
        <v>70.7</v>
      </c>
      <c r="D2084" s="6">
        <v>60.5</v>
      </c>
      <c r="E2084" s="7">
        <f t="shared" si="32"/>
        <v>131.19999999999999</v>
      </c>
      <c r="F2084" s="8"/>
    </row>
    <row r="2085" spans="1:6" ht="18" customHeight="1">
      <c r="A2085" s="4" t="s">
        <v>59</v>
      </c>
      <c r="B2085" s="4" t="str">
        <f>"2020024425"</f>
        <v>2020024425</v>
      </c>
      <c r="C2085" s="5">
        <v>63.4</v>
      </c>
      <c r="D2085" s="6">
        <v>67.5</v>
      </c>
      <c r="E2085" s="7">
        <f t="shared" si="32"/>
        <v>130.9</v>
      </c>
      <c r="F2085" s="8"/>
    </row>
    <row r="2086" spans="1:6" ht="18" customHeight="1">
      <c r="A2086" s="4" t="s">
        <v>59</v>
      </c>
      <c r="B2086" s="4" t="str">
        <f>"2020044906"</f>
        <v>2020044906</v>
      </c>
      <c r="C2086" s="5">
        <v>68.7</v>
      </c>
      <c r="D2086" s="6">
        <v>61</v>
      </c>
      <c r="E2086" s="7">
        <f t="shared" si="32"/>
        <v>129.69999999999999</v>
      </c>
      <c r="F2086" s="8"/>
    </row>
    <row r="2087" spans="1:6" ht="18" customHeight="1">
      <c r="A2087" s="4" t="s">
        <v>59</v>
      </c>
      <c r="B2087" s="4" t="str">
        <f>"2020045227"</f>
        <v>2020045227</v>
      </c>
      <c r="C2087" s="5">
        <v>68.5</v>
      </c>
      <c r="D2087" s="6">
        <v>59.5</v>
      </c>
      <c r="E2087" s="7">
        <f t="shared" si="32"/>
        <v>128</v>
      </c>
      <c r="F2087" s="8"/>
    </row>
    <row r="2088" spans="1:6" ht="18" customHeight="1">
      <c r="A2088" s="4" t="s">
        <v>59</v>
      </c>
      <c r="B2088" s="4" t="str">
        <f>"2020020210"</f>
        <v>2020020210</v>
      </c>
      <c r="C2088" s="5">
        <v>62.5</v>
      </c>
      <c r="D2088" s="6">
        <v>64.5</v>
      </c>
      <c r="E2088" s="7">
        <f t="shared" si="32"/>
        <v>127</v>
      </c>
      <c r="F2088" s="8"/>
    </row>
    <row r="2089" spans="1:6" ht="18" customHeight="1">
      <c r="A2089" s="4" t="s">
        <v>59</v>
      </c>
      <c r="B2089" s="4" t="str">
        <f>"2020042619"</f>
        <v>2020042619</v>
      </c>
      <c r="C2089" s="5">
        <v>65.599999999999994</v>
      </c>
      <c r="D2089" s="6">
        <v>61</v>
      </c>
      <c r="E2089" s="7">
        <f t="shared" si="32"/>
        <v>126.6</v>
      </c>
      <c r="F2089" s="8"/>
    </row>
    <row r="2090" spans="1:6" ht="18" customHeight="1">
      <c r="A2090" s="4" t="s">
        <v>59</v>
      </c>
      <c r="B2090" s="4" t="str">
        <f>"2020046018"</f>
        <v>2020046018</v>
      </c>
      <c r="C2090" s="5">
        <v>62.9</v>
      </c>
      <c r="D2090" s="6">
        <v>63.5</v>
      </c>
      <c r="E2090" s="7">
        <f t="shared" si="32"/>
        <v>126.4</v>
      </c>
      <c r="F2090" s="8"/>
    </row>
    <row r="2091" spans="1:6" ht="18" customHeight="1">
      <c r="A2091" s="4" t="s">
        <v>59</v>
      </c>
      <c r="B2091" s="4" t="str">
        <f>"2020031917"</f>
        <v>2020031917</v>
      </c>
      <c r="C2091" s="5">
        <v>57.3</v>
      </c>
      <c r="D2091" s="6">
        <v>69</v>
      </c>
      <c r="E2091" s="7">
        <f t="shared" si="32"/>
        <v>126.3</v>
      </c>
      <c r="F2091" s="8"/>
    </row>
    <row r="2092" spans="1:6" ht="18" customHeight="1">
      <c r="A2092" s="4" t="s">
        <v>59</v>
      </c>
      <c r="B2092" s="4" t="str">
        <f>"2020011420"</f>
        <v>2020011420</v>
      </c>
      <c r="C2092" s="5">
        <v>71.7</v>
      </c>
      <c r="D2092" s="6">
        <v>52.5</v>
      </c>
      <c r="E2092" s="7">
        <f t="shared" si="32"/>
        <v>124.2</v>
      </c>
      <c r="F2092" s="8"/>
    </row>
    <row r="2093" spans="1:6" ht="18" customHeight="1">
      <c r="A2093" s="4" t="s">
        <v>59</v>
      </c>
      <c r="B2093" s="4" t="str">
        <f>"2020023926"</f>
        <v>2020023926</v>
      </c>
      <c r="C2093" s="5">
        <v>60.5</v>
      </c>
      <c r="D2093" s="6">
        <v>63</v>
      </c>
      <c r="E2093" s="7">
        <f t="shared" si="32"/>
        <v>123.5</v>
      </c>
      <c r="F2093" s="8"/>
    </row>
    <row r="2094" spans="1:6" ht="18" customHeight="1">
      <c r="A2094" s="4" t="s">
        <v>59</v>
      </c>
      <c r="B2094" s="4" t="str">
        <f>"2020012506"</f>
        <v>2020012506</v>
      </c>
      <c r="C2094" s="5">
        <v>63.4</v>
      </c>
      <c r="D2094" s="6">
        <v>57</v>
      </c>
      <c r="E2094" s="7">
        <f t="shared" si="32"/>
        <v>120.4</v>
      </c>
      <c r="F2094" s="8"/>
    </row>
    <row r="2095" spans="1:6" ht="18" customHeight="1">
      <c r="A2095" s="4" t="s">
        <v>59</v>
      </c>
      <c r="B2095" s="4" t="str">
        <f>"2020042410"</f>
        <v>2020042410</v>
      </c>
      <c r="C2095" s="5">
        <v>65.099999999999994</v>
      </c>
      <c r="D2095" s="6">
        <v>55</v>
      </c>
      <c r="E2095" s="7">
        <f t="shared" si="32"/>
        <v>120.1</v>
      </c>
      <c r="F2095" s="8"/>
    </row>
    <row r="2096" spans="1:6" ht="18" customHeight="1">
      <c r="A2096" s="4" t="s">
        <v>59</v>
      </c>
      <c r="B2096" s="4" t="str">
        <f>"2020044212"</f>
        <v>2020044212</v>
      </c>
      <c r="C2096" s="5">
        <v>64.599999999999994</v>
      </c>
      <c r="D2096" s="6">
        <v>54.5</v>
      </c>
      <c r="E2096" s="7">
        <f t="shared" si="32"/>
        <v>119.1</v>
      </c>
      <c r="F2096" s="8"/>
    </row>
    <row r="2097" spans="1:6" ht="18" customHeight="1">
      <c r="A2097" s="4" t="s">
        <v>59</v>
      </c>
      <c r="B2097" s="4" t="str">
        <f>"2020031818"</f>
        <v>2020031818</v>
      </c>
      <c r="C2097" s="5">
        <v>59.3</v>
      </c>
      <c r="D2097" s="6">
        <v>59.5</v>
      </c>
      <c r="E2097" s="7">
        <f t="shared" si="32"/>
        <v>118.8</v>
      </c>
      <c r="F2097" s="8"/>
    </row>
    <row r="2098" spans="1:6" ht="18" customHeight="1">
      <c r="A2098" s="4" t="s">
        <v>59</v>
      </c>
      <c r="B2098" s="4" t="str">
        <f>"2020022614"</f>
        <v>2020022614</v>
      </c>
      <c r="C2098" s="5">
        <v>56.8</v>
      </c>
      <c r="D2098" s="6">
        <v>55.5</v>
      </c>
      <c r="E2098" s="7">
        <f t="shared" si="32"/>
        <v>112.3</v>
      </c>
      <c r="F2098" s="8"/>
    </row>
    <row r="2099" spans="1:6" ht="18" customHeight="1">
      <c r="A2099" s="4" t="s">
        <v>59</v>
      </c>
      <c r="B2099" s="4" t="str">
        <f>"2020045627"</f>
        <v>2020045627</v>
      </c>
      <c r="C2099" s="5">
        <v>60.1</v>
      </c>
      <c r="D2099" s="6">
        <v>49.5</v>
      </c>
      <c r="E2099" s="7">
        <f t="shared" si="32"/>
        <v>109.6</v>
      </c>
      <c r="F2099" s="8"/>
    </row>
    <row r="2100" spans="1:6" ht="18" customHeight="1">
      <c r="A2100" s="4" t="s">
        <v>59</v>
      </c>
      <c r="B2100" s="4" t="str">
        <f>"2020043402"</f>
        <v>2020043402</v>
      </c>
      <c r="C2100" s="5">
        <v>59.7</v>
      </c>
      <c r="D2100" s="6">
        <v>49</v>
      </c>
      <c r="E2100" s="7">
        <f t="shared" si="32"/>
        <v>108.7</v>
      </c>
      <c r="F2100" s="8"/>
    </row>
    <row r="2101" spans="1:6" ht="18" customHeight="1">
      <c r="A2101" s="4" t="s">
        <v>59</v>
      </c>
      <c r="B2101" s="4" t="str">
        <f>"2020047101"</f>
        <v>2020047101</v>
      </c>
      <c r="C2101" s="5">
        <v>54.1</v>
      </c>
      <c r="D2101" s="6">
        <v>54</v>
      </c>
      <c r="E2101" s="7">
        <f t="shared" si="32"/>
        <v>108.1</v>
      </c>
      <c r="F2101" s="8"/>
    </row>
    <row r="2102" spans="1:6" ht="18" customHeight="1">
      <c r="A2102" s="4" t="s">
        <v>59</v>
      </c>
      <c r="B2102" s="4" t="str">
        <f>"2020012028"</f>
        <v>2020012028</v>
      </c>
      <c r="C2102" s="5">
        <v>59.3</v>
      </c>
      <c r="D2102" s="6">
        <v>48.5</v>
      </c>
      <c r="E2102" s="7">
        <f t="shared" si="32"/>
        <v>107.8</v>
      </c>
      <c r="F2102" s="8"/>
    </row>
    <row r="2103" spans="1:6" ht="18" customHeight="1">
      <c r="A2103" s="4" t="s">
        <v>59</v>
      </c>
      <c r="B2103" s="4" t="str">
        <f>"2020012919"</f>
        <v>2020012919</v>
      </c>
      <c r="C2103" s="5">
        <v>55.1</v>
      </c>
      <c r="D2103" s="6">
        <v>52.5</v>
      </c>
      <c r="E2103" s="7">
        <f t="shared" si="32"/>
        <v>107.6</v>
      </c>
      <c r="F2103" s="8"/>
    </row>
    <row r="2104" spans="1:6" ht="18" customHeight="1">
      <c r="A2104" s="4" t="s">
        <v>59</v>
      </c>
      <c r="B2104" s="4" t="str">
        <f>"2020046530"</f>
        <v>2020046530</v>
      </c>
      <c r="C2104" s="5">
        <v>56.3</v>
      </c>
      <c r="D2104" s="6">
        <v>51</v>
      </c>
      <c r="E2104" s="7">
        <f t="shared" si="32"/>
        <v>107.3</v>
      </c>
      <c r="F2104" s="8"/>
    </row>
    <row r="2105" spans="1:6" ht="18" customHeight="1">
      <c r="A2105" s="4" t="s">
        <v>59</v>
      </c>
      <c r="B2105" s="4" t="str">
        <f>"2020013214"</f>
        <v>2020013214</v>
      </c>
      <c r="C2105" s="5">
        <v>58.5</v>
      </c>
      <c r="D2105" s="6">
        <v>48</v>
      </c>
      <c r="E2105" s="7">
        <f t="shared" si="32"/>
        <v>106.5</v>
      </c>
      <c r="F2105" s="8"/>
    </row>
    <row r="2106" spans="1:6" ht="18" customHeight="1">
      <c r="A2106" s="4" t="s">
        <v>59</v>
      </c>
      <c r="B2106" s="4" t="str">
        <f>"2020042528"</f>
        <v>2020042528</v>
      </c>
      <c r="C2106" s="5">
        <v>57.4</v>
      </c>
      <c r="D2106" s="6">
        <v>48</v>
      </c>
      <c r="E2106" s="7">
        <f t="shared" si="32"/>
        <v>105.4</v>
      </c>
      <c r="F2106" s="8"/>
    </row>
    <row r="2107" spans="1:6" ht="18" customHeight="1">
      <c r="A2107" s="4" t="s">
        <v>59</v>
      </c>
      <c r="B2107" s="4" t="str">
        <f>"2020013503"</f>
        <v>2020013503</v>
      </c>
      <c r="C2107" s="5">
        <v>50.3</v>
      </c>
      <c r="D2107" s="6">
        <v>54.5</v>
      </c>
      <c r="E2107" s="7">
        <f t="shared" si="32"/>
        <v>104.8</v>
      </c>
      <c r="F2107" s="8"/>
    </row>
    <row r="2108" spans="1:6" ht="18" customHeight="1">
      <c r="A2108" s="4" t="s">
        <v>59</v>
      </c>
      <c r="B2108" s="4" t="str">
        <f>"2020020626"</f>
        <v>2020020626</v>
      </c>
      <c r="C2108" s="5">
        <v>56.8</v>
      </c>
      <c r="D2108" s="6">
        <v>43</v>
      </c>
      <c r="E2108" s="7">
        <f t="shared" si="32"/>
        <v>99.8</v>
      </c>
      <c r="F2108" s="8"/>
    </row>
    <row r="2109" spans="1:6" ht="18" customHeight="1">
      <c r="A2109" s="4" t="s">
        <v>59</v>
      </c>
      <c r="B2109" s="4" t="str">
        <f>"2020022905"</f>
        <v>2020022905</v>
      </c>
      <c r="C2109" s="5">
        <v>56.3</v>
      </c>
      <c r="D2109" s="6">
        <v>43</v>
      </c>
      <c r="E2109" s="7">
        <f t="shared" si="32"/>
        <v>99.3</v>
      </c>
      <c r="F2109" s="8"/>
    </row>
    <row r="2110" spans="1:6" ht="18" customHeight="1">
      <c r="A2110" s="4" t="s">
        <v>59</v>
      </c>
      <c r="B2110" s="4" t="str">
        <f>"2020031801"</f>
        <v>2020031801</v>
      </c>
      <c r="C2110" s="5">
        <v>42.9</v>
      </c>
      <c r="D2110" s="6">
        <v>49.5</v>
      </c>
      <c r="E2110" s="7">
        <f t="shared" si="32"/>
        <v>92.4</v>
      </c>
      <c r="F2110" s="8"/>
    </row>
    <row r="2111" spans="1:6" ht="18" customHeight="1">
      <c r="A2111" s="4" t="s">
        <v>59</v>
      </c>
      <c r="B2111" s="4" t="str">
        <f>"2020011728"</f>
        <v>2020011728</v>
      </c>
      <c r="C2111" s="5">
        <v>0</v>
      </c>
      <c r="D2111" s="6">
        <v>0</v>
      </c>
      <c r="E2111" s="7">
        <f t="shared" si="32"/>
        <v>0</v>
      </c>
      <c r="F2111" s="9" t="s">
        <v>8</v>
      </c>
    </row>
    <row r="2112" spans="1:6" ht="18" customHeight="1">
      <c r="A2112" s="4" t="s">
        <v>59</v>
      </c>
      <c r="B2112" s="4" t="str">
        <f>"2020012101"</f>
        <v>2020012101</v>
      </c>
      <c r="C2112" s="5">
        <v>0</v>
      </c>
      <c r="D2112" s="6">
        <v>0</v>
      </c>
      <c r="E2112" s="7">
        <f t="shared" si="32"/>
        <v>0</v>
      </c>
      <c r="F2112" s="9" t="s">
        <v>8</v>
      </c>
    </row>
    <row r="2113" spans="1:6" ht="18" customHeight="1">
      <c r="A2113" s="4" t="s">
        <v>59</v>
      </c>
      <c r="B2113" s="4" t="str">
        <f>"2020013311"</f>
        <v>2020013311</v>
      </c>
      <c r="C2113" s="5">
        <v>0</v>
      </c>
      <c r="D2113" s="6">
        <v>0</v>
      </c>
      <c r="E2113" s="7">
        <f t="shared" si="32"/>
        <v>0</v>
      </c>
      <c r="F2113" s="9" t="s">
        <v>8</v>
      </c>
    </row>
    <row r="2114" spans="1:6" ht="18" customHeight="1">
      <c r="A2114" s="4" t="s">
        <v>59</v>
      </c>
      <c r="B2114" s="4" t="str">
        <f>"2020020729"</f>
        <v>2020020729</v>
      </c>
      <c r="C2114" s="5">
        <v>0</v>
      </c>
      <c r="D2114" s="6">
        <v>0</v>
      </c>
      <c r="E2114" s="7">
        <f t="shared" si="32"/>
        <v>0</v>
      </c>
      <c r="F2114" s="8" t="s">
        <v>8</v>
      </c>
    </row>
    <row r="2115" spans="1:6" ht="18" customHeight="1">
      <c r="A2115" s="4" t="s">
        <v>59</v>
      </c>
      <c r="B2115" s="4" t="str">
        <f>"2020021521"</f>
        <v>2020021521</v>
      </c>
      <c r="C2115" s="5">
        <v>0</v>
      </c>
      <c r="D2115" s="6">
        <v>0</v>
      </c>
      <c r="E2115" s="7">
        <f t="shared" ref="E2115:E2178" si="33">SUM(C2115:D2115)</f>
        <v>0</v>
      </c>
      <c r="F2115" s="8" t="s">
        <v>8</v>
      </c>
    </row>
    <row r="2116" spans="1:6" ht="18" customHeight="1">
      <c r="A2116" s="4" t="s">
        <v>59</v>
      </c>
      <c r="B2116" s="4" t="str">
        <f>"2020023026"</f>
        <v>2020023026</v>
      </c>
      <c r="C2116" s="5">
        <v>0</v>
      </c>
      <c r="D2116" s="6">
        <v>0</v>
      </c>
      <c r="E2116" s="7">
        <f t="shared" si="33"/>
        <v>0</v>
      </c>
      <c r="F2116" s="8" t="s">
        <v>8</v>
      </c>
    </row>
    <row r="2117" spans="1:6" ht="18" customHeight="1">
      <c r="A2117" s="4" t="s">
        <v>59</v>
      </c>
      <c r="B2117" s="4" t="str">
        <f>"2020031027"</f>
        <v>2020031027</v>
      </c>
      <c r="C2117" s="5">
        <v>0</v>
      </c>
      <c r="D2117" s="6">
        <v>0</v>
      </c>
      <c r="E2117" s="7">
        <f t="shared" si="33"/>
        <v>0</v>
      </c>
      <c r="F2117" s="8" t="s">
        <v>8</v>
      </c>
    </row>
    <row r="2118" spans="1:6" ht="18" customHeight="1">
      <c r="A2118" s="4" t="s">
        <v>59</v>
      </c>
      <c r="B2118" s="4" t="str">
        <f>"2020032703"</f>
        <v>2020032703</v>
      </c>
      <c r="C2118" s="5">
        <v>0</v>
      </c>
      <c r="D2118" s="6">
        <v>0</v>
      </c>
      <c r="E2118" s="7">
        <f t="shared" si="33"/>
        <v>0</v>
      </c>
      <c r="F2118" s="8" t="s">
        <v>8</v>
      </c>
    </row>
    <row r="2119" spans="1:6" ht="18" customHeight="1">
      <c r="A2119" s="4" t="s">
        <v>59</v>
      </c>
      <c r="B2119" s="4" t="str">
        <f>"2020042127"</f>
        <v>2020042127</v>
      </c>
      <c r="C2119" s="5">
        <v>0</v>
      </c>
      <c r="D2119" s="6">
        <v>0</v>
      </c>
      <c r="E2119" s="7">
        <f t="shared" si="33"/>
        <v>0</v>
      </c>
      <c r="F2119" s="8" t="s">
        <v>8</v>
      </c>
    </row>
    <row r="2120" spans="1:6" ht="18" customHeight="1">
      <c r="A2120" s="4" t="s">
        <v>60</v>
      </c>
      <c r="B2120" s="4" t="str">
        <f>"2020023523"</f>
        <v>2020023523</v>
      </c>
      <c r="C2120" s="5">
        <v>77.900000000000006</v>
      </c>
      <c r="D2120" s="6">
        <v>81</v>
      </c>
      <c r="E2120" s="7">
        <f t="shared" si="33"/>
        <v>158.9</v>
      </c>
      <c r="F2120" s="8"/>
    </row>
    <row r="2121" spans="1:6" ht="18" customHeight="1">
      <c r="A2121" s="4" t="s">
        <v>60</v>
      </c>
      <c r="B2121" s="4" t="str">
        <f>"2020040711"</f>
        <v>2020040711</v>
      </c>
      <c r="C2121" s="5">
        <v>75.599999999999994</v>
      </c>
      <c r="D2121" s="6">
        <v>73.5</v>
      </c>
      <c r="E2121" s="7">
        <f t="shared" si="33"/>
        <v>149.1</v>
      </c>
      <c r="F2121" s="8"/>
    </row>
    <row r="2122" spans="1:6" ht="18" customHeight="1">
      <c r="A2122" s="4" t="s">
        <v>60</v>
      </c>
      <c r="B2122" s="4" t="str">
        <f>"2020040324"</f>
        <v>2020040324</v>
      </c>
      <c r="C2122" s="5">
        <v>71.400000000000006</v>
      </c>
      <c r="D2122" s="6">
        <v>77</v>
      </c>
      <c r="E2122" s="7">
        <f t="shared" si="33"/>
        <v>148.4</v>
      </c>
      <c r="F2122" s="8"/>
    </row>
    <row r="2123" spans="1:6" ht="18" customHeight="1">
      <c r="A2123" s="4" t="s">
        <v>60</v>
      </c>
      <c r="B2123" s="4" t="str">
        <f>"2020043428"</f>
        <v>2020043428</v>
      </c>
      <c r="C2123" s="5">
        <v>67.5</v>
      </c>
      <c r="D2123" s="6">
        <v>79</v>
      </c>
      <c r="E2123" s="7">
        <f t="shared" si="33"/>
        <v>146.5</v>
      </c>
      <c r="F2123" s="8"/>
    </row>
    <row r="2124" spans="1:6" ht="18" customHeight="1">
      <c r="A2124" s="4" t="s">
        <v>60</v>
      </c>
      <c r="B2124" s="4" t="str">
        <f>"2020021307"</f>
        <v>2020021307</v>
      </c>
      <c r="C2124" s="5">
        <v>73.3</v>
      </c>
      <c r="D2124" s="6">
        <v>68</v>
      </c>
      <c r="E2124" s="7">
        <f t="shared" si="33"/>
        <v>141.30000000000001</v>
      </c>
      <c r="F2124" s="8"/>
    </row>
    <row r="2125" spans="1:6" ht="18" customHeight="1">
      <c r="A2125" s="4" t="s">
        <v>60</v>
      </c>
      <c r="B2125" s="4" t="str">
        <f>"2020021919"</f>
        <v>2020021919</v>
      </c>
      <c r="C2125" s="5">
        <v>66.7</v>
      </c>
      <c r="D2125" s="6">
        <v>72</v>
      </c>
      <c r="E2125" s="7">
        <f t="shared" si="33"/>
        <v>138.69999999999999</v>
      </c>
      <c r="F2125" s="8"/>
    </row>
    <row r="2126" spans="1:6" ht="18" customHeight="1">
      <c r="A2126" s="4" t="s">
        <v>60</v>
      </c>
      <c r="B2126" s="4" t="str">
        <f>"2020046124"</f>
        <v>2020046124</v>
      </c>
      <c r="C2126" s="5">
        <v>66.599999999999994</v>
      </c>
      <c r="D2126" s="6">
        <v>64.5</v>
      </c>
      <c r="E2126" s="7">
        <f t="shared" si="33"/>
        <v>131.1</v>
      </c>
      <c r="F2126" s="8"/>
    </row>
    <row r="2127" spans="1:6" ht="18" customHeight="1">
      <c r="A2127" s="4" t="s">
        <v>60</v>
      </c>
      <c r="B2127" s="4" t="str">
        <f>"2020031713"</f>
        <v>2020031713</v>
      </c>
      <c r="C2127" s="5">
        <v>67.5</v>
      </c>
      <c r="D2127" s="6">
        <v>63.5</v>
      </c>
      <c r="E2127" s="7">
        <f t="shared" si="33"/>
        <v>131</v>
      </c>
      <c r="F2127" s="8"/>
    </row>
    <row r="2128" spans="1:6" ht="18" customHeight="1">
      <c r="A2128" s="4" t="s">
        <v>60</v>
      </c>
      <c r="B2128" s="4" t="str">
        <f>"2020023704"</f>
        <v>2020023704</v>
      </c>
      <c r="C2128" s="5">
        <v>56.5</v>
      </c>
      <c r="D2128" s="6">
        <v>67.5</v>
      </c>
      <c r="E2128" s="7">
        <f t="shared" si="33"/>
        <v>124</v>
      </c>
      <c r="F2128" s="8"/>
    </row>
    <row r="2129" spans="1:6" ht="18" customHeight="1">
      <c r="A2129" s="4" t="s">
        <v>60</v>
      </c>
      <c r="B2129" s="4" t="str">
        <f>"2020023615"</f>
        <v>2020023615</v>
      </c>
      <c r="C2129" s="5">
        <v>62.3</v>
      </c>
      <c r="D2129" s="6">
        <v>57.5</v>
      </c>
      <c r="E2129" s="7">
        <f t="shared" si="33"/>
        <v>119.8</v>
      </c>
      <c r="F2129" s="8"/>
    </row>
    <row r="2130" spans="1:6" ht="18" customHeight="1">
      <c r="A2130" s="4" t="s">
        <v>60</v>
      </c>
      <c r="B2130" s="4" t="str">
        <f>"2020020818"</f>
        <v>2020020818</v>
      </c>
      <c r="C2130" s="5">
        <v>57.1</v>
      </c>
      <c r="D2130" s="6">
        <v>50</v>
      </c>
      <c r="E2130" s="7">
        <f t="shared" si="33"/>
        <v>107.1</v>
      </c>
      <c r="F2130" s="8"/>
    </row>
    <row r="2131" spans="1:6" ht="18" customHeight="1">
      <c r="A2131" s="4" t="s">
        <v>60</v>
      </c>
      <c r="B2131" s="4" t="str">
        <f>"2020020429"</f>
        <v>2020020429</v>
      </c>
      <c r="C2131" s="5">
        <v>57.8</v>
      </c>
      <c r="D2131" s="6">
        <v>4</v>
      </c>
      <c r="E2131" s="7">
        <f t="shared" si="33"/>
        <v>61.8</v>
      </c>
      <c r="F2131" s="8"/>
    </row>
    <row r="2132" spans="1:6" ht="18" customHeight="1">
      <c r="A2132" s="4" t="s">
        <v>60</v>
      </c>
      <c r="B2132" s="4" t="str">
        <f>"2020041922"</f>
        <v>2020041922</v>
      </c>
      <c r="C2132" s="5">
        <v>0</v>
      </c>
      <c r="D2132" s="6">
        <v>0</v>
      </c>
      <c r="E2132" s="7">
        <f t="shared" si="33"/>
        <v>0</v>
      </c>
      <c r="F2132" s="8" t="s">
        <v>8</v>
      </c>
    </row>
    <row r="2133" spans="1:6" ht="18" customHeight="1">
      <c r="A2133" s="4" t="s">
        <v>60</v>
      </c>
      <c r="B2133" s="4" t="str">
        <f>"2020046426"</f>
        <v>2020046426</v>
      </c>
      <c r="C2133" s="5">
        <v>0</v>
      </c>
      <c r="D2133" s="6">
        <v>0</v>
      </c>
      <c r="E2133" s="7">
        <f t="shared" si="33"/>
        <v>0</v>
      </c>
      <c r="F2133" s="8" t="s">
        <v>8</v>
      </c>
    </row>
    <row r="2134" spans="1:6" ht="18" customHeight="1">
      <c r="A2134" s="4" t="s">
        <v>60</v>
      </c>
      <c r="B2134" s="4" t="str">
        <f>"2020046521"</f>
        <v>2020046521</v>
      </c>
      <c r="C2134" s="5">
        <v>0</v>
      </c>
      <c r="D2134" s="6">
        <v>0</v>
      </c>
      <c r="E2134" s="7">
        <f t="shared" si="33"/>
        <v>0</v>
      </c>
      <c r="F2134" s="8" t="s">
        <v>8</v>
      </c>
    </row>
    <row r="2135" spans="1:6" ht="18" customHeight="1">
      <c r="A2135" s="4" t="s">
        <v>60</v>
      </c>
      <c r="B2135" s="4" t="str">
        <f>"2020046621"</f>
        <v>2020046621</v>
      </c>
      <c r="C2135" s="5">
        <v>0</v>
      </c>
      <c r="D2135" s="6">
        <v>0</v>
      </c>
      <c r="E2135" s="7">
        <f t="shared" si="33"/>
        <v>0</v>
      </c>
      <c r="F2135" s="8" t="s">
        <v>8</v>
      </c>
    </row>
    <row r="2136" spans="1:6" ht="18" customHeight="1">
      <c r="A2136" s="4" t="s">
        <v>60</v>
      </c>
      <c r="B2136" s="4" t="str">
        <f>"2020047019"</f>
        <v>2020047019</v>
      </c>
      <c r="C2136" s="5">
        <v>0</v>
      </c>
      <c r="D2136" s="6">
        <v>0</v>
      </c>
      <c r="E2136" s="7">
        <f t="shared" si="33"/>
        <v>0</v>
      </c>
      <c r="F2136" s="8" t="s">
        <v>8</v>
      </c>
    </row>
    <row r="2137" spans="1:6" ht="18" customHeight="1">
      <c r="A2137" s="4" t="s">
        <v>61</v>
      </c>
      <c r="B2137" s="4" t="str">
        <f>"2020024014"</f>
        <v>2020024014</v>
      </c>
      <c r="C2137" s="5">
        <v>67.400000000000006</v>
      </c>
      <c r="D2137" s="6">
        <v>80.5</v>
      </c>
      <c r="E2137" s="7">
        <f t="shared" si="33"/>
        <v>147.9</v>
      </c>
      <c r="F2137" s="8"/>
    </row>
    <row r="2138" spans="1:6" ht="18" customHeight="1">
      <c r="A2138" s="4" t="s">
        <v>61</v>
      </c>
      <c r="B2138" s="4" t="str">
        <f>"2020013425"</f>
        <v>2020013425</v>
      </c>
      <c r="C2138" s="5">
        <v>68.599999999999994</v>
      </c>
      <c r="D2138" s="6">
        <v>78.5</v>
      </c>
      <c r="E2138" s="7">
        <f t="shared" si="33"/>
        <v>147.1</v>
      </c>
      <c r="F2138" s="8"/>
    </row>
    <row r="2139" spans="1:6" ht="18" customHeight="1">
      <c r="A2139" s="4" t="s">
        <v>61</v>
      </c>
      <c r="B2139" s="4" t="str">
        <f>"2020042517"</f>
        <v>2020042517</v>
      </c>
      <c r="C2139" s="5">
        <v>73.099999999999994</v>
      </c>
      <c r="D2139" s="6">
        <v>66.5</v>
      </c>
      <c r="E2139" s="7">
        <f t="shared" si="33"/>
        <v>139.6</v>
      </c>
      <c r="F2139" s="8"/>
    </row>
    <row r="2140" spans="1:6" ht="18" customHeight="1">
      <c r="A2140" s="4" t="s">
        <v>61</v>
      </c>
      <c r="B2140" s="4" t="str">
        <f>"2020024301"</f>
        <v>2020024301</v>
      </c>
      <c r="C2140" s="5">
        <v>66.2</v>
      </c>
      <c r="D2140" s="6">
        <v>67.5</v>
      </c>
      <c r="E2140" s="7">
        <f t="shared" si="33"/>
        <v>133.69999999999999</v>
      </c>
      <c r="F2140" s="8"/>
    </row>
    <row r="2141" spans="1:6" ht="18" customHeight="1">
      <c r="A2141" s="4" t="s">
        <v>61</v>
      </c>
      <c r="B2141" s="4" t="str">
        <f>"2020024814"</f>
        <v>2020024814</v>
      </c>
      <c r="C2141" s="5">
        <v>72.900000000000006</v>
      </c>
      <c r="D2141" s="6">
        <v>54</v>
      </c>
      <c r="E2141" s="7">
        <f t="shared" si="33"/>
        <v>126.9</v>
      </c>
      <c r="F2141" s="8"/>
    </row>
    <row r="2142" spans="1:6" ht="18" customHeight="1">
      <c r="A2142" s="4" t="s">
        <v>61</v>
      </c>
      <c r="B2142" s="4" t="str">
        <f>"2020032818"</f>
        <v>2020032818</v>
      </c>
      <c r="C2142" s="5">
        <v>55.9</v>
      </c>
      <c r="D2142" s="6">
        <v>66</v>
      </c>
      <c r="E2142" s="7">
        <f t="shared" si="33"/>
        <v>121.9</v>
      </c>
      <c r="F2142" s="8"/>
    </row>
    <row r="2143" spans="1:6" ht="18" customHeight="1">
      <c r="A2143" s="4" t="s">
        <v>61</v>
      </c>
      <c r="B2143" s="4" t="str">
        <f>"2020030711"</f>
        <v>2020030711</v>
      </c>
      <c r="C2143" s="5">
        <v>68.5</v>
      </c>
      <c r="D2143" s="6">
        <v>45.5</v>
      </c>
      <c r="E2143" s="7">
        <f t="shared" si="33"/>
        <v>114</v>
      </c>
      <c r="F2143" s="8"/>
    </row>
    <row r="2144" spans="1:6" ht="18" customHeight="1">
      <c r="A2144" s="4" t="s">
        <v>61</v>
      </c>
      <c r="B2144" s="4" t="str">
        <f>"2020021803"</f>
        <v>2020021803</v>
      </c>
      <c r="C2144" s="5">
        <v>0</v>
      </c>
      <c r="D2144" s="6">
        <v>0</v>
      </c>
      <c r="E2144" s="7">
        <f t="shared" si="33"/>
        <v>0</v>
      </c>
      <c r="F2144" s="8" t="s">
        <v>8</v>
      </c>
    </row>
    <row r="2145" spans="1:6" ht="18" customHeight="1">
      <c r="A2145" s="4" t="s">
        <v>61</v>
      </c>
      <c r="B2145" s="4" t="str">
        <f>"2020023709"</f>
        <v>2020023709</v>
      </c>
      <c r="C2145" s="5">
        <v>0</v>
      </c>
      <c r="D2145" s="6">
        <v>0</v>
      </c>
      <c r="E2145" s="7">
        <f t="shared" si="33"/>
        <v>0</v>
      </c>
      <c r="F2145" s="8" t="s">
        <v>8</v>
      </c>
    </row>
    <row r="2146" spans="1:6" ht="18" customHeight="1">
      <c r="A2146" s="4" t="s">
        <v>61</v>
      </c>
      <c r="B2146" s="4" t="str">
        <f>"2020030509"</f>
        <v>2020030509</v>
      </c>
      <c r="C2146" s="5">
        <v>0</v>
      </c>
      <c r="D2146" s="6">
        <v>0</v>
      </c>
      <c r="E2146" s="7">
        <f t="shared" si="33"/>
        <v>0</v>
      </c>
      <c r="F2146" s="8" t="s">
        <v>8</v>
      </c>
    </row>
    <row r="2147" spans="1:6" ht="18" customHeight="1">
      <c r="A2147" s="4" t="s">
        <v>61</v>
      </c>
      <c r="B2147" s="4" t="str">
        <f>"2020033604"</f>
        <v>2020033604</v>
      </c>
      <c r="C2147" s="5">
        <v>0</v>
      </c>
      <c r="D2147" s="6">
        <v>0</v>
      </c>
      <c r="E2147" s="7">
        <f t="shared" si="33"/>
        <v>0</v>
      </c>
      <c r="F2147" s="8" t="s">
        <v>8</v>
      </c>
    </row>
    <row r="2148" spans="1:6" ht="18" customHeight="1">
      <c r="A2148" s="4" t="s">
        <v>61</v>
      </c>
      <c r="B2148" s="4" t="str">
        <f>"2020040715"</f>
        <v>2020040715</v>
      </c>
      <c r="C2148" s="5">
        <v>0</v>
      </c>
      <c r="D2148" s="6">
        <v>0</v>
      </c>
      <c r="E2148" s="7">
        <f t="shared" si="33"/>
        <v>0</v>
      </c>
      <c r="F2148" s="8" t="s">
        <v>8</v>
      </c>
    </row>
    <row r="2149" spans="1:6" ht="18" customHeight="1">
      <c r="A2149" s="4" t="s">
        <v>61</v>
      </c>
      <c r="B2149" s="4" t="str">
        <f>"2020042806"</f>
        <v>2020042806</v>
      </c>
      <c r="C2149" s="5">
        <v>0</v>
      </c>
      <c r="D2149" s="6">
        <v>0</v>
      </c>
      <c r="E2149" s="7">
        <f t="shared" si="33"/>
        <v>0</v>
      </c>
      <c r="F2149" s="8" t="s">
        <v>8</v>
      </c>
    </row>
    <row r="2150" spans="1:6" ht="18" customHeight="1">
      <c r="A2150" s="4" t="s">
        <v>62</v>
      </c>
      <c r="B2150" s="4" t="str">
        <f>"2020045607"</f>
        <v>2020045607</v>
      </c>
      <c r="C2150" s="5">
        <v>69.3</v>
      </c>
      <c r="D2150" s="6">
        <v>68.5</v>
      </c>
      <c r="E2150" s="7">
        <f t="shared" si="33"/>
        <v>137.80000000000001</v>
      </c>
      <c r="F2150" s="8"/>
    </row>
    <row r="2151" spans="1:6" ht="18" customHeight="1">
      <c r="A2151" s="4" t="s">
        <v>62</v>
      </c>
      <c r="B2151" s="4" t="str">
        <f>"2020012330"</f>
        <v>2020012330</v>
      </c>
      <c r="C2151" s="5">
        <v>0</v>
      </c>
      <c r="D2151" s="6">
        <v>0</v>
      </c>
      <c r="E2151" s="7">
        <f t="shared" si="33"/>
        <v>0</v>
      </c>
      <c r="F2151" s="9" t="s">
        <v>8</v>
      </c>
    </row>
    <row r="2152" spans="1:6" ht="18" customHeight="1">
      <c r="A2152" s="4" t="s">
        <v>62</v>
      </c>
      <c r="B2152" s="4" t="str">
        <f>"2020013727"</f>
        <v>2020013727</v>
      </c>
      <c r="C2152" s="5">
        <v>0</v>
      </c>
      <c r="D2152" s="6">
        <v>0</v>
      </c>
      <c r="E2152" s="7">
        <f t="shared" si="33"/>
        <v>0</v>
      </c>
      <c r="F2152" s="9" t="s">
        <v>8</v>
      </c>
    </row>
    <row r="2153" spans="1:6" ht="18" customHeight="1">
      <c r="A2153" s="4" t="s">
        <v>62</v>
      </c>
      <c r="B2153" s="4" t="str">
        <f>"2020041412"</f>
        <v>2020041412</v>
      </c>
      <c r="C2153" s="5">
        <v>0</v>
      </c>
      <c r="D2153" s="6">
        <v>0</v>
      </c>
      <c r="E2153" s="7">
        <f t="shared" si="33"/>
        <v>0</v>
      </c>
      <c r="F2153" s="8" t="s">
        <v>8</v>
      </c>
    </row>
    <row r="2154" spans="1:6" ht="18" customHeight="1">
      <c r="A2154" s="4" t="s">
        <v>62</v>
      </c>
      <c r="B2154" s="4" t="str">
        <f>"2020042429"</f>
        <v>2020042429</v>
      </c>
      <c r="C2154" s="5">
        <v>0</v>
      </c>
      <c r="D2154" s="6">
        <v>0</v>
      </c>
      <c r="E2154" s="7">
        <f t="shared" si="33"/>
        <v>0</v>
      </c>
      <c r="F2154" s="8" t="s">
        <v>8</v>
      </c>
    </row>
    <row r="2155" spans="1:6" ht="18" customHeight="1">
      <c r="A2155" s="4" t="s">
        <v>62</v>
      </c>
      <c r="B2155" s="4" t="str">
        <f>"2020047221"</f>
        <v>2020047221</v>
      </c>
      <c r="C2155" s="5">
        <v>0</v>
      </c>
      <c r="D2155" s="6">
        <v>0</v>
      </c>
      <c r="E2155" s="7">
        <f t="shared" si="33"/>
        <v>0</v>
      </c>
      <c r="F2155" s="8" t="s">
        <v>8</v>
      </c>
    </row>
    <row r="2156" spans="1:6" ht="18" customHeight="1">
      <c r="A2156" s="4" t="s">
        <v>63</v>
      </c>
      <c r="B2156" s="4" t="str">
        <f>"2020032505"</f>
        <v>2020032505</v>
      </c>
      <c r="C2156" s="5">
        <v>67.7</v>
      </c>
      <c r="D2156" s="6">
        <v>71.5</v>
      </c>
      <c r="E2156" s="7">
        <f t="shared" si="33"/>
        <v>139.19999999999999</v>
      </c>
      <c r="F2156" s="8"/>
    </row>
    <row r="2157" spans="1:6" ht="18" customHeight="1">
      <c r="A2157" s="4" t="s">
        <v>63</v>
      </c>
      <c r="B2157" s="4" t="str">
        <f>"2020046728"</f>
        <v>2020046728</v>
      </c>
      <c r="C2157" s="5">
        <v>73.3</v>
      </c>
      <c r="D2157" s="6">
        <v>64</v>
      </c>
      <c r="E2157" s="7">
        <f t="shared" si="33"/>
        <v>137.30000000000001</v>
      </c>
      <c r="F2157" s="8"/>
    </row>
    <row r="2158" spans="1:6" ht="18" customHeight="1">
      <c r="A2158" s="4" t="s">
        <v>63</v>
      </c>
      <c r="B2158" s="4" t="str">
        <f>"2020041303"</f>
        <v>2020041303</v>
      </c>
      <c r="C2158" s="5">
        <v>63.5</v>
      </c>
      <c r="D2158" s="6">
        <v>70</v>
      </c>
      <c r="E2158" s="7">
        <f t="shared" si="33"/>
        <v>133.5</v>
      </c>
      <c r="F2158" s="8"/>
    </row>
    <row r="2159" spans="1:6" ht="18" customHeight="1">
      <c r="A2159" s="4" t="s">
        <v>63</v>
      </c>
      <c r="B2159" s="4" t="str">
        <f>"2020043628"</f>
        <v>2020043628</v>
      </c>
      <c r="C2159" s="5">
        <v>63.4</v>
      </c>
      <c r="D2159" s="6">
        <v>69.5</v>
      </c>
      <c r="E2159" s="7">
        <f t="shared" si="33"/>
        <v>132.9</v>
      </c>
      <c r="F2159" s="8"/>
    </row>
    <row r="2160" spans="1:6" ht="18" customHeight="1">
      <c r="A2160" s="4" t="s">
        <v>63</v>
      </c>
      <c r="B2160" s="4" t="str">
        <f>"2020023302"</f>
        <v>2020023302</v>
      </c>
      <c r="C2160" s="5">
        <v>64.7</v>
      </c>
      <c r="D2160" s="6">
        <v>68</v>
      </c>
      <c r="E2160" s="7">
        <f t="shared" si="33"/>
        <v>132.69999999999999</v>
      </c>
      <c r="F2160" s="8"/>
    </row>
    <row r="2161" spans="1:6" ht="18" customHeight="1">
      <c r="A2161" s="4" t="s">
        <v>63</v>
      </c>
      <c r="B2161" s="4" t="str">
        <f>"2020043622"</f>
        <v>2020043622</v>
      </c>
      <c r="C2161" s="5">
        <v>64.2</v>
      </c>
      <c r="D2161" s="6">
        <v>68.5</v>
      </c>
      <c r="E2161" s="7">
        <f t="shared" si="33"/>
        <v>132.69999999999999</v>
      </c>
      <c r="F2161" s="8"/>
    </row>
    <row r="2162" spans="1:6" ht="18" customHeight="1">
      <c r="A2162" s="4" t="s">
        <v>63</v>
      </c>
      <c r="B2162" s="4" t="str">
        <f>"2020030528"</f>
        <v>2020030528</v>
      </c>
      <c r="C2162" s="5">
        <v>69</v>
      </c>
      <c r="D2162" s="6">
        <v>60.5</v>
      </c>
      <c r="E2162" s="7">
        <f t="shared" si="33"/>
        <v>129.5</v>
      </c>
      <c r="F2162" s="8"/>
    </row>
    <row r="2163" spans="1:6" ht="18" customHeight="1">
      <c r="A2163" s="4" t="s">
        <v>63</v>
      </c>
      <c r="B2163" s="4" t="str">
        <f>"2020022712"</f>
        <v>2020022712</v>
      </c>
      <c r="C2163" s="5">
        <v>64.099999999999994</v>
      </c>
      <c r="D2163" s="6">
        <v>65</v>
      </c>
      <c r="E2163" s="7">
        <f t="shared" si="33"/>
        <v>129.1</v>
      </c>
      <c r="F2163" s="8"/>
    </row>
    <row r="2164" spans="1:6" ht="18" customHeight="1">
      <c r="A2164" s="4" t="s">
        <v>63</v>
      </c>
      <c r="B2164" s="4" t="str">
        <f>"2020022516"</f>
        <v>2020022516</v>
      </c>
      <c r="C2164" s="5">
        <v>66.5</v>
      </c>
      <c r="D2164" s="6">
        <v>61.5</v>
      </c>
      <c r="E2164" s="7">
        <f t="shared" si="33"/>
        <v>128</v>
      </c>
      <c r="F2164" s="8"/>
    </row>
    <row r="2165" spans="1:6" ht="18" customHeight="1">
      <c r="A2165" s="4" t="s">
        <v>63</v>
      </c>
      <c r="B2165" s="4" t="str">
        <f>"2020030626"</f>
        <v>2020030626</v>
      </c>
      <c r="C2165" s="5">
        <v>63.2</v>
      </c>
      <c r="D2165" s="6">
        <v>64.5</v>
      </c>
      <c r="E2165" s="7">
        <f t="shared" si="33"/>
        <v>127.7</v>
      </c>
      <c r="F2165" s="8"/>
    </row>
    <row r="2166" spans="1:6" ht="18" customHeight="1">
      <c r="A2166" s="4" t="s">
        <v>63</v>
      </c>
      <c r="B2166" s="4" t="str">
        <f>"2020012306"</f>
        <v>2020012306</v>
      </c>
      <c r="C2166" s="5">
        <v>64.099999999999994</v>
      </c>
      <c r="D2166" s="6">
        <v>63</v>
      </c>
      <c r="E2166" s="7">
        <f t="shared" si="33"/>
        <v>127.1</v>
      </c>
      <c r="F2166" s="8"/>
    </row>
    <row r="2167" spans="1:6" ht="18" customHeight="1">
      <c r="A2167" s="4" t="s">
        <v>63</v>
      </c>
      <c r="B2167" s="4" t="str">
        <f>"2020013417"</f>
        <v>2020013417</v>
      </c>
      <c r="C2167" s="5">
        <v>62.8</v>
      </c>
      <c r="D2167" s="6">
        <v>57.5</v>
      </c>
      <c r="E2167" s="7">
        <f t="shared" si="33"/>
        <v>120.3</v>
      </c>
      <c r="F2167" s="8"/>
    </row>
    <row r="2168" spans="1:6" ht="18" customHeight="1">
      <c r="A2168" s="4" t="s">
        <v>63</v>
      </c>
      <c r="B2168" s="4" t="str">
        <f>"2020012515"</f>
        <v>2020012515</v>
      </c>
      <c r="C2168" s="5">
        <v>56.7</v>
      </c>
      <c r="D2168" s="6">
        <v>62.5</v>
      </c>
      <c r="E2168" s="7">
        <f t="shared" si="33"/>
        <v>119.2</v>
      </c>
      <c r="F2168" s="8"/>
    </row>
    <row r="2169" spans="1:6" ht="18" customHeight="1">
      <c r="A2169" s="4" t="s">
        <v>63</v>
      </c>
      <c r="B2169" s="4" t="str">
        <f>"2020047416"</f>
        <v>2020047416</v>
      </c>
      <c r="C2169" s="5">
        <v>67.099999999999994</v>
      </c>
      <c r="D2169" s="6">
        <v>51</v>
      </c>
      <c r="E2169" s="7">
        <f t="shared" si="33"/>
        <v>118.1</v>
      </c>
      <c r="F2169" s="8"/>
    </row>
    <row r="2170" spans="1:6" ht="18" customHeight="1">
      <c r="A2170" s="4" t="s">
        <v>63</v>
      </c>
      <c r="B2170" s="4" t="str">
        <f>"2020041830"</f>
        <v>2020041830</v>
      </c>
      <c r="C2170" s="5">
        <v>62.5</v>
      </c>
      <c r="D2170" s="6">
        <v>50.5</v>
      </c>
      <c r="E2170" s="7">
        <f t="shared" si="33"/>
        <v>113</v>
      </c>
      <c r="F2170" s="8"/>
    </row>
    <row r="2171" spans="1:6" ht="18" customHeight="1">
      <c r="A2171" s="4" t="s">
        <v>63</v>
      </c>
      <c r="B2171" s="4" t="str">
        <f>"2020044127"</f>
        <v>2020044127</v>
      </c>
      <c r="C2171" s="5">
        <v>0</v>
      </c>
      <c r="D2171" s="6">
        <v>0</v>
      </c>
      <c r="E2171" s="7">
        <f t="shared" si="33"/>
        <v>0</v>
      </c>
      <c r="F2171" s="8" t="s">
        <v>8</v>
      </c>
    </row>
    <row r="2172" spans="1:6" ht="18" customHeight="1">
      <c r="A2172" s="4" t="s">
        <v>63</v>
      </c>
      <c r="B2172" s="4" t="str">
        <f>"2020045115"</f>
        <v>2020045115</v>
      </c>
      <c r="C2172" s="5">
        <v>0</v>
      </c>
      <c r="D2172" s="6">
        <v>0</v>
      </c>
      <c r="E2172" s="7">
        <f t="shared" si="33"/>
        <v>0</v>
      </c>
      <c r="F2172" s="8" t="s">
        <v>8</v>
      </c>
    </row>
    <row r="2173" spans="1:6" ht="18" customHeight="1">
      <c r="A2173" s="4" t="s">
        <v>64</v>
      </c>
      <c r="B2173" s="4" t="str">
        <f>"2020044218"</f>
        <v>2020044218</v>
      </c>
      <c r="C2173" s="5">
        <v>75.3</v>
      </c>
      <c r="D2173" s="6">
        <v>93</v>
      </c>
      <c r="E2173" s="7">
        <f t="shared" si="33"/>
        <v>168.3</v>
      </c>
      <c r="F2173" s="8"/>
    </row>
    <row r="2174" spans="1:6" ht="18" customHeight="1">
      <c r="A2174" s="4" t="s">
        <v>64</v>
      </c>
      <c r="B2174" s="4" t="str">
        <f>"2020031112"</f>
        <v>2020031112</v>
      </c>
      <c r="C2174" s="5">
        <v>69.8</v>
      </c>
      <c r="D2174" s="6">
        <v>81.5</v>
      </c>
      <c r="E2174" s="7">
        <f t="shared" si="33"/>
        <v>151.30000000000001</v>
      </c>
      <c r="F2174" s="8"/>
    </row>
    <row r="2175" spans="1:6" ht="18" customHeight="1">
      <c r="A2175" s="4" t="s">
        <v>64</v>
      </c>
      <c r="B2175" s="4" t="str">
        <f>"2020046008"</f>
        <v>2020046008</v>
      </c>
      <c r="C2175" s="5">
        <v>74.599999999999994</v>
      </c>
      <c r="D2175" s="6">
        <v>70</v>
      </c>
      <c r="E2175" s="7">
        <f t="shared" si="33"/>
        <v>144.6</v>
      </c>
      <c r="F2175" s="8"/>
    </row>
    <row r="2176" spans="1:6" ht="18" customHeight="1">
      <c r="A2176" s="4" t="s">
        <v>64</v>
      </c>
      <c r="B2176" s="4" t="str">
        <f>"2020044105"</f>
        <v>2020044105</v>
      </c>
      <c r="C2176" s="5">
        <v>68.3</v>
      </c>
      <c r="D2176" s="6">
        <v>72</v>
      </c>
      <c r="E2176" s="7">
        <f t="shared" si="33"/>
        <v>140.30000000000001</v>
      </c>
      <c r="F2176" s="8"/>
    </row>
    <row r="2177" spans="1:6" ht="18" customHeight="1">
      <c r="A2177" s="4" t="s">
        <v>64</v>
      </c>
      <c r="B2177" s="4" t="str">
        <f>"2020010802"</f>
        <v>2020010802</v>
      </c>
      <c r="C2177" s="5">
        <v>70.599999999999994</v>
      </c>
      <c r="D2177" s="6">
        <v>67</v>
      </c>
      <c r="E2177" s="7">
        <f t="shared" si="33"/>
        <v>137.6</v>
      </c>
      <c r="F2177" s="8"/>
    </row>
    <row r="2178" spans="1:6" ht="18" customHeight="1">
      <c r="A2178" s="4" t="s">
        <v>64</v>
      </c>
      <c r="B2178" s="4" t="str">
        <f>"2020012510"</f>
        <v>2020012510</v>
      </c>
      <c r="C2178" s="5">
        <v>72.5</v>
      </c>
      <c r="D2178" s="6">
        <v>65</v>
      </c>
      <c r="E2178" s="7">
        <f t="shared" si="33"/>
        <v>137.5</v>
      </c>
      <c r="F2178" s="8"/>
    </row>
    <row r="2179" spans="1:6" ht="18" customHeight="1">
      <c r="A2179" s="4" t="s">
        <v>64</v>
      </c>
      <c r="B2179" s="4" t="str">
        <f>"2020042502"</f>
        <v>2020042502</v>
      </c>
      <c r="C2179" s="5">
        <v>70.8</v>
      </c>
      <c r="D2179" s="6">
        <v>66.5</v>
      </c>
      <c r="E2179" s="7">
        <f t="shared" ref="E2179:E2242" si="34">SUM(C2179:D2179)</f>
        <v>137.30000000000001</v>
      </c>
      <c r="F2179" s="8"/>
    </row>
    <row r="2180" spans="1:6" ht="18" customHeight="1">
      <c r="A2180" s="4" t="s">
        <v>64</v>
      </c>
      <c r="B2180" s="4" t="str">
        <f>"2020041402"</f>
        <v>2020041402</v>
      </c>
      <c r="C2180" s="5">
        <v>63.5</v>
      </c>
      <c r="D2180" s="6">
        <v>73.5</v>
      </c>
      <c r="E2180" s="7">
        <f t="shared" si="34"/>
        <v>137</v>
      </c>
      <c r="F2180" s="8"/>
    </row>
    <row r="2181" spans="1:6" ht="18" customHeight="1">
      <c r="A2181" s="4" t="s">
        <v>64</v>
      </c>
      <c r="B2181" s="4" t="str">
        <f>"2020047020"</f>
        <v>2020047020</v>
      </c>
      <c r="C2181" s="5">
        <v>70.900000000000006</v>
      </c>
      <c r="D2181" s="6">
        <v>66</v>
      </c>
      <c r="E2181" s="7">
        <f t="shared" si="34"/>
        <v>136.9</v>
      </c>
      <c r="F2181" s="8"/>
    </row>
    <row r="2182" spans="1:6" ht="18" customHeight="1">
      <c r="A2182" s="4" t="s">
        <v>64</v>
      </c>
      <c r="B2182" s="4" t="str">
        <f>"2020020825"</f>
        <v>2020020825</v>
      </c>
      <c r="C2182" s="5">
        <v>69.8</v>
      </c>
      <c r="D2182" s="6">
        <v>66.5</v>
      </c>
      <c r="E2182" s="7">
        <f t="shared" si="34"/>
        <v>136.30000000000001</v>
      </c>
      <c r="F2182" s="8"/>
    </row>
    <row r="2183" spans="1:6" ht="18" customHeight="1">
      <c r="A2183" s="4" t="s">
        <v>64</v>
      </c>
      <c r="B2183" s="4" t="str">
        <f>"2020032601"</f>
        <v>2020032601</v>
      </c>
      <c r="C2183" s="5">
        <v>69.099999999999994</v>
      </c>
      <c r="D2183" s="6">
        <v>67</v>
      </c>
      <c r="E2183" s="7">
        <f t="shared" si="34"/>
        <v>136.1</v>
      </c>
      <c r="F2183" s="8"/>
    </row>
    <row r="2184" spans="1:6" ht="18" customHeight="1">
      <c r="A2184" s="4" t="s">
        <v>64</v>
      </c>
      <c r="B2184" s="4" t="str">
        <f>"2020030412"</f>
        <v>2020030412</v>
      </c>
      <c r="C2184" s="5">
        <v>61.2</v>
      </c>
      <c r="D2184" s="6">
        <v>74</v>
      </c>
      <c r="E2184" s="7">
        <f t="shared" si="34"/>
        <v>135.19999999999999</v>
      </c>
      <c r="F2184" s="8"/>
    </row>
    <row r="2185" spans="1:6" ht="18" customHeight="1">
      <c r="A2185" s="4" t="s">
        <v>64</v>
      </c>
      <c r="B2185" s="4" t="str">
        <f>"2020042803"</f>
        <v>2020042803</v>
      </c>
      <c r="C2185" s="5">
        <v>62.2</v>
      </c>
      <c r="D2185" s="6">
        <v>71.5</v>
      </c>
      <c r="E2185" s="7">
        <f t="shared" si="34"/>
        <v>133.69999999999999</v>
      </c>
      <c r="F2185" s="8"/>
    </row>
    <row r="2186" spans="1:6" ht="18" customHeight="1">
      <c r="A2186" s="4" t="s">
        <v>64</v>
      </c>
      <c r="B2186" s="4" t="str">
        <f>"2020046505"</f>
        <v>2020046505</v>
      </c>
      <c r="C2186" s="5">
        <v>58.7</v>
      </c>
      <c r="D2186" s="6">
        <v>74.5</v>
      </c>
      <c r="E2186" s="7">
        <f t="shared" si="34"/>
        <v>133.19999999999999</v>
      </c>
      <c r="F2186" s="8"/>
    </row>
    <row r="2187" spans="1:6" ht="18" customHeight="1">
      <c r="A2187" s="4" t="s">
        <v>64</v>
      </c>
      <c r="B2187" s="4" t="str">
        <f>"2020045619"</f>
        <v>2020045619</v>
      </c>
      <c r="C2187" s="5">
        <v>65</v>
      </c>
      <c r="D2187" s="6">
        <v>66.5</v>
      </c>
      <c r="E2187" s="7">
        <f t="shared" si="34"/>
        <v>131.5</v>
      </c>
      <c r="F2187" s="8"/>
    </row>
    <row r="2188" spans="1:6" ht="18" customHeight="1">
      <c r="A2188" s="4" t="s">
        <v>64</v>
      </c>
      <c r="B2188" s="4" t="str">
        <f>"2020041617"</f>
        <v>2020041617</v>
      </c>
      <c r="C2188" s="5">
        <v>0</v>
      </c>
      <c r="D2188" s="6">
        <v>0</v>
      </c>
      <c r="E2188" s="7">
        <f t="shared" si="34"/>
        <v>0</v>
      </c>
      <c r="F2188" s="8" t="s">
        <v>8</v>
      </c>
    </row>
    <row r="2189" spans="1:6" ht="18" customHeight="1">
      <c r="A2189" s="4" t="s">
        <v>65</v>
      </c>
      <c r="B2189" s="4" t="str">
        <f>"2020012020"</f>
        <v>2020012020</v>
      </c>
      <c r="C2189" s="5">
        <v>77.7</v>
      </c>
      <c r="D2189" s="6">
        <v>83.5</v>
      </c>
      <c r="E2189" s="7">
        <f t="shared" si="34"/>
        <v>161.19999999999999</v>
      </c>
      <c r="F2189" s="8"/>
    </row>
    <row r="2190" spans="1:6" ht="18" customHeight="1">
      <c r="A2190" s="4" t="s">
        <v>65</v>
      </c>
      <c r="B2190" s="4" t="str">
        <f>"2020012713"</f>
        <v>2020012713</v>
      </c>
      <c r="C2190" s="5">
        <v>72.7</v>
      </c>
      <c r="D2190" s="6">
        <v>83.5</v>
      </c>
      <c r="E2190" s="7">
        <f t="shared" si="34"/>
        <v>156.19999999999999</v>
      </c>
      <c r="F2190" s="8"/>
    </row>
    <row r="2191" spans="1:6" ht="18" customHeight="1">
      <c r="A2191" s="4" t="s">
        <v>65</v>
      </c>
      <c r="B2191" s="4" t="str">
        <f>"2020045117"</f>
        <v>2020045117</v>
      </c>
      <c r="C2191" s="5">
        <v>74.3</v>
      </c>
      <c r="D2191" s="6">
        <v>79</v>
      </c>
      <c r="E2191" s="7">
        <f t="shared" si="34"/>
        <v>153.30000000000001</v>
      </c>
      <c r="F2191" s="8"/>
    </row>
    <row r="2192" spans="1:6" ht="18" customHeight="1">
      <c r="A2192" s="4" t="s">
        <v>65</v>
      </c>
      <c r="B2192" s="4" t="str">
        <f>"2020043518"</f>
        <v>2020043518</v>
      </c>
      <c r="C2192" s="5">
        <v>71.7</v>
      </c>
      <c r="D2192" s="6">
        <v>79</v>
      </c>
      <c r="E2192" s="7">
        <f t="shared" si="34"/>
        <v>150.69999999999999</v>
      </c>
      <c r="F2192" s="8"/>
    </row>
    <row r="2193" spans="1:6" ht="18" customHeight="1">
      <c r="A2193" s="4" t="s">
        <v>65</v>
      </c>
      <c r="B2193" s="4" t="str">
        <f>"2020023627"</f>
        <v>2020023627</v>
      </c>
      <c r="C2193" s="5">
        <v>69.7</v>
      </c>
      <c r="D2193" s="6">
        <v>78</v>
      </c>
      <c r="E2193" s="7">
        <f t="shared" si="34"/>
        <v>147.69999999999999</v>
      </c>
      <c r="F2193" s="8"/>
    </row>
    <row r="2194" spans="1:6" ht="18" customHeight="1">
      <c r="A2194" s="4" t="s">
        <v>65</v>
      </c>
      <c r="B2194" s="4" t="str">
        <f>"2020011014"</f>
        <v>2020011014</v>
      </c>
      <c r="C2194" s="5">
        <v>67.7</v>
      </c>
      <c r="D2194" s="6">
        <v>78.5</v>
      </c>
      <c r="E2194" s="7">
        <f t="shared" si="34"/>
        <v>146.19999999999999</v>
      </c>
      <c r="F2194" s="8"/>
    </row>
    <row r="2195" spans="1:6" ht="18" customHeight="1">
      <c r="A2195" s="4" t="s">
        <v>65</v>
      </c>
      <c r="B2195" s="4" t="str">
        <f>"2020044230"</f>
        <v>2020044230</v>
      </c>
      <c r="C2195" s="5">
        <v>71.900000000000006</v>
      </c>
      <c r="D2195" s="6">
        <v>72.5</v>
      </c>
      <c r="E2195" s="7">
        <f t="shared" si="34"/>
        <v>144.4</v>
      </c>
      <c r="F2195" s="8"/>
    </row>
    <row r="2196" spans="1:6" ht="18" customHeight="1">
      <c r="A2196" s="4" t="s">
        <v>65</v>
      </c>
      <c r="B2196" s="4" t="str">
        <f>"2020042029"</f>
        <v>2020042029</v>
      </c>
      <c r="C2196" s="5">
        <v>74.3</v>
      </c>
      <c r="D2196" s="6">
        <v>70</v>
      </c>
      <c r="E2196" s="7">
        <f t="shared" si="34"/>
        <v>144.30000000000001</v>
      </c>
      <c r="F2196" s="8"/>
    </row>
    <row r="2197" spans="1:6" ht="18" customHeight="1">
      <c r="A2197" s="4" t="s">
        <v>65</v>
      </c>
      <c r="B2197" s="4" t="str">
        <f>"2020044814"</f>
        <v>2020044814</v>
      </c>
      <c r="C2197" s="5">
        <v>73.2</v>
      </c>
      <c r="D2197" s="6">
        <v>70</v>
      </c>
      <c r="E2197" s="7">
        <f t="shared" si="34"/>
        <v>143.19999999999999</v>
      </c>
      <c r="F2197" s="8"/>
    </row>
    <row r="2198" spans="1:6" ht="18" customHeight="1">
      <c r="A2198" s="4" t="s">
        <v>65</v>
      </c>
      <c r="B2198" s="4" t="str">
        <f>"2020024126"</f>
        <v>2020024126</v>
      </c>
      <c r="C2198" s="5">
        <v>69.099999999999994</v>
      </c>
      <c r="D2198" s="6">
        <v>74</v>
      </c>
      <c r="E2198" s="7">
        <f t="shared" si="34"/>
        <v>143.1</v>
      </c>
      <c r="F2198" s="8"/>
    </row>
    <row r="2199" spans="1:6" ht="18" customHeight="1">
      <c r="A2199" s="4" t="s">
        <v>65</v>
      </c>
      <c r="B2199" s="4" t="str">
        <f>"2020011825"</f>
        <v>2020011825</v>
      </c>
      <c r="C2199" s="5">
        <v>66.099999999999994</v>
      </c>
      <c r="D2199" s="6">
        <v>75.5</v>
      </c>
      <c r="E2199" s="7">
        <f t="shared" si="34"/>
        <v>141.6</v>
      </c>
      <c r="F2199" s="8"/>
    </row>
    <row r="2200" spans="1:6" ht="18" customHeight="1">
      <c r="A2200" s="4" t="s">
        <v>65</v>
      </c>
      <c r="B2200" s="4" t="str">
        <f>"2020022026"</f>
        <v>2020022026</v>
      </c>
      <c r="C2200" s="5">
        <v>70.900000000000006</v>
      </c>
      <c r="D2200" s="6">
        <v>69</v>
      </c>
      <c r="E2200" s="7">
        <f t="shared" si="34"/>
        <v>139.9</v>
      </c>
      <c r="F2200" s="8"/>
    </row>
    <row r="2201" spans="1:6" ht="18" customHeight="1">
      <c r="A2201" s="4" t="s">
        <v>65</v>
      </c>
      <c r="B2201" s="4" t="str">
        <f>"2020045514"</f>
        <v>2020045514</v>
      </c>
      <c r="C2201" s="5">
        <v>68.900000000000006</v>
      </c>
      <c r="D2201" s="6">
        <v>69.5</v>
      </c>
      <c r="E2201" s="7">
        <f t="shared" si="34"/>
        <v>138.4</v>
      </c>
      <c r="F2201" s="8"/>
    </row>
    <row r="2202" spans="1:6" ht="18" customHeight="1">
      <c r="A2202" s="4" t="s">
        <v>65</v>
      </c>
      <c r="B2202" s="4" t="str">
        <f>"2020010930"</f>
        <v>2020010930</v>
      </c>
      <c r="C2202" s="5">
        <v>66.900000000000006</v>
      </c>
      <c r="D2202" s="6">
        <v>71.5</v>
      </c>
      <c r="E2202" s="7">
        <f t="shared" si="34"/>
        <v>138.4</v>
      </c>
      <c r="F2202" s="8"/>
    </row>
    <row r="2203" spans="1:6" ht="18" customHeight="1">
      <c r="A2203" s="4" t="s">
        <v>65</v>
      </c>
      <c r="B2203" s="4" t="str">
        <f>"2020043207"</f>
        <v>2020043207</v>
      </c>
      <c r="C2203" s="5">
        <v>71.8</v>
      </c>
      <c r="D2203" s="6">
        <v>65.5</v>
      </c>
      <c r="E2203" s="7">
        <f t="shared" si="34"/>
        <v>137.30000000000001</v>
      </c>
      <c r="F2203" s="8"/>
    </row>
    <row r="2204" spans="1:6" ht="18" customHeight="1">
      <c r="A2204" s="4" t="s">
        <v>65</v>
      </c>
      <c r="B2204" s="4" t="str">
        <f>"2020011116"</f>
        <v>2020011116</v>
      </c>
      <c r="C2204" s="5">
        <v>65.099999999999994</v>
      </c>
      <c r="D2204" s="6">
        <v>70.5</v>
      </c>
      <c r="E2204" s="7">
        <f t="shared" si="34"/>
        <v>135.6</v>
      </c>
      <c r="F2204" s="8"/>
    </row>
    <row r="2205" spans="1:6" ht="18" customHeight="1">
      <c r="A2205" s="4" t="s">
        <v>65</v>
      </c>
      <c r="B2205" s="4" t="str">
        <f>"2020033613"</f>
        <v>2020033613</v>
      </c>
      <c r="C2205" s="5">
        <v>68.5</v>
      </c>
      <c r="D2205" s="6">
        <v>66.5</v>
      </c>
      <c r="E2205" s="7">
        <f t="shared" si="34"/>
        <v>135</v>
      </c>
      <c r="F2205" s="8"/>
    </row>
    <row r="2206" spans="1:6" ht="18" customHeight="1">
      <c r="A2206" s="4" t="s">
        <v>65</v>
      </c>
      <c r="B2206" s="4" t="str">
        <f>"2020041318"</f>
        <v>2020041318</v>
      </c>
      <c r="C2206" s="5">
        <v>68.8</v>
      </c>
      <c r="D2206" s="6">
        <v>66</v>
      </c>
      <c r="E2206" s="7">
        <f t="shared" si="34"/>
        <v>134.80000000000001</v>
      </c>
      <c r="F2206" s="8"/>
    </row>
    <row r="2207" spans="1:6" ht="18" customHeight="1">
      <c r="A2207" s="4" t="s">
        <v>65</v>
      </c>
      <c r="B2207" s="4" t="str">
        <f>"2020023002"</f>
        <v>2020023002</v>
      </c>
      <c r="C2207" s="5">
        <v>64.599999999999994</v>
      </c>
      <c r="D2207" s="6">
        <v>69</v>
      </c>
      <c r="E2207" s="7">
        <f t="shared" si="34"/>
        <v>133.6</v>
      </c>
      <c r="F2207" s="8"/>
    </row>
    <row r="2208" spans="1:6" ht="18" customHeight="1">
      <c r="A2208" s="4" t="s">
        <v>65</v>
      </c>
      <c r="B2208" s="4" t="str">
        <f>"2020021508"</f>
        <v>2020021508</v>
      </c>
      <c r="C2208" s="5">
        <v>70.5</v>
      </c>
      <c r="D2208" s="6">
        <v>62.5</v>
      </c>
      <c r="E2208" s="7">
        <f t="shared" si="34"/>
        <v>133</v>
      </c>
      <c r="F2208" s="8"/>
    </row>
    <row r="2209" spans="1:6" ht="18" customHeight="1">
      <c r="A2209" s="4" t="s">
        <v>65</v>
      </c>
      <c r="B2209" s="4" t="str">
        <f>"2020024725"</f>
        <v>2020024725</v>
      </c>
      <c r="C2209" s="5">
        <v>58.8</v>
      </c>
      <c r="D2209" s="6">
        <v>72</v>
      </c>
      <c r="E2209" s="7">
        <f t="shared" si="34"/>
        <v>130.80000000000001</v>
      </c>
      <c r="F2209" s="8"/>
    </row>
    <row r="2210" spans="1:6" ht="18" customHeight="1">
      <c r="A2210" s="4" t="s">
        <v>65</v>
      </c>
      <c r="B2210" s="4" t="str">
        <f>"2020024303"</f>
        <v>2020024303</v>
      </c>
      <c r="C2210" s="5">
        <v>66.3</v>
      </c>
      <c r="D2210" s="6">
        <v>64</v>
      </c>
      <c r="E2210" s="7">
        <f t="shared" si="34"/>
        <v>130.30000000000001</v>
      </c>
      <c r="F2210" s="8"/>
    </row>
    <row r="2211" spans="1:6" ht="18" customHeight="1">
      <c r="A2211" s="4" t="s">
        <v>65</v>
      </c>
      <c r="B2211" s="4" t="str">
        <f>"2020030124"</f>
        <v>2020030124</v>
      </c>
      <c r="C2211" s="5">
        <v>64.2</v>
      </c>
      <c r="D2211" s="6">
        <v>61.5</v>
      </c>
      <c r="E2211" s="7">
        <f t="shared" si="34"/>
        <v>125.7</v>
      </c>
      <c r="F2211" s="8"/>
    </row>
    <row r="2212" spans="1:6" ht="18" customHeight="1">
      <c r="A2212" s="4" t="s">
        <v>65</v>
      </c>
      <c r="B2212" s="4" t="str">
        <f>"2020023110"</f>
        <v>2020023110</v>
      </c>
      <c r="C2212" s="5">
        <v>0</v>
      </c>
      <c r="D2212" s="6">
        <v>0</v>
      </c>
      <c r="E2212" s="7">
        <f t="shared" si="34"/>
        <v>0</v>
      </c>
      <c r="F2212" s="8" t="s">
        <v>8</v>
      </c>
    </row>
    <row r="2213" spans="1:6" ht="18" customHeight="1">
      <c r="A2213" s="4" t="s">
        <v>66</v>
      </c>
      <c r="B2213" s="4" t="str">
        <f>"2020024009"</f>
        <v>2020024009</v>
      </c>
      <c r="C2213" s="5">
        <v>69.3</v>
      </c>
      <c r="D2213" s="6">
        <v>84.5</v>
      </c>
      <c r="E2213" s="7">
        <f t="shared" si="34"/>
        <v>153.80000000000001</v>
      </c>
      <c r="F2213" s="8"/>
    </row>
    <row r="2214" spans="1:6" ht="18" customHeight="1">
      <c r="A2214" s="4" t="s">
        <v>66</v>
      </c>
      <c r="B2214" s="4" t="str">
        <f>"2020020906"</f>
        <v>2020020906</v>
      </c>
      <c r="C2214" s="5">
        <v>65.7</v>
      </c>
      <c r="D2214" s="6">
        <v>76.5</v>
      </c>
      <c r="E2214" s="7">
        <f t="shared" si="34"/>
        <v>142.19999999999999</v>
      </c>
      <c r="F2214" s="8"/>
    </row>
    <row r="2215" spans="1:6" ht="18" customHeight="1">
      <c r="A2215" s="4" t="s">
        <v>66</v>
      </c>
      <c r="B2215" s="4" t="str">
        <f>"2020024717"</f>
        <v>2020024717</v>
      </c>
      <c r="C2215" s="5">
        <v>72.400000000000006</v>
      </c>
      <c r="D2215" s="6">
        <v>68</v>
      </c>
      <c r="E2215" s="7">
        <f t="shared" si="34"/>
        <v>140.4</v>
      </c>
      <c r="F2215" s="8"/>
    </row>
    <row r="2216" spans="1:6" ht="18" customHeight="1">
      <c r="A2216" s="4" t="s">
        <v>66</v>
      </c>
      <c r="B2216" s="4" t="str">
        <f>"2020042226"</f>
        <v>2020042226</v>
      </c>
      <c r="C2216" s="5">
        <v>72.8</v>
      </c>
      <c r="D2216" s="6">
        <v>66.5</v>
      </c>
      <c r="E2216" s="7">
        <f t="shared" si="34"/>
        <v>139.30000000000001</v>
      </c>
      <c r="F2216" s="8"/>
    </row>
    <row r="2217" spans="1:6" ht="18" customHeight="1">
      <c r="A2217" s="4" t="s">
        <v>66</v>
      </c>
      <c r="B2217" s="4" t="str">
        <f>"2020014027"</f>
        <v>2020014027</v>
      </c>
      <c r="C2217" s="5">
        <v>59.7</v>
      </c>
      <c r="D2217" s="6">
        <v>78.5</v>
      </c>
      <c r="E2217" s="7">
        <f t="shared" si="34"/>
        <v>138.19999999999999</v>
      </c>
      <c r="F2217" s="8"/>
    </row>
    <row r="2218" spans="1:6" ht="18" customHeight="1">
      <c r="A2218" s="4" t="s">
        <v>66</v>
      </c>
      <c r="B2218" s="4" t="str">
        <f>"2020024030"</f>
        <v>2020024030</v>
      </c>
      <c r="C2218" s="5">
        <v>62.6</v>
      </c>
      <c r="D2218" s="6">
        <v>75.5</v>
      </c>
      <c r="E2218" s="7">
        <f t="shared" si="34"/>
        <v>138.1</v>
      </c>
      <c r="F2218" s="8"/>
    </row>
    <row r="2219" spans="1:6" ht="18" customHeight="1">
      <c r="A2219" s="4" t="s">
        <v>66</v>
      </c>
      <c r="B2219" s="4" t="str">
        <f>"2020043725"</f>
        <v>2020043725</v>
      </c>
      <c r="C2219" s="5">
        <v>75.2</v>
      </c>
      <c r="D2219" s="6">
        <v>61</v>
      </c>
      <c r="E2219" s="7">
        <f t="shared" si="34"/>
        <v>136.19999999999999</v>
      </c>
      <c r="F2219" s="8"/>
    </row>
    <row r="2220" spans="1:6" ht="18" customHeight="1">
      <c r="A2220" s="4" t="s">
        <v>66</v>
      </c>
      <c r="B2220" s="4" t="str">
        <f>"2020020216"</f>
        <v>2020020216</v>
      </c>
      <c r="C2220" s="5">
        <v>64.3</v>
      </c>
      <c r="D2220" s="6">
        <v>71</v>
      </c>
      <c r="E2220" s="7">
        <f t="shared" si="34"/>
        <v>135.30000000000001</v>
      </c>
      <c r="F2220" s="8"/>
    </row>
    <row r="2221" spans="1:6" ht="18" customHeight="1">
      <c r="A2221" s="4" t="s">
        <v>66</v>
      </c>
      <c r="B2221" s="4" t="str">
        <f>"2020023328"</f>
        <v>2020023328</v>
      </c>
      <c r="C2221" s="5">
        <v>62.9</v>
      </c>
      <c r="D2221" s="6">
        <v>69.5</v>
      </c>
      <c r="E2221" s="7">
        <f t="shared" si="34"/>
        <v>132.4</v>
      </c>
      <c r="F2221" s="8"/>
    </row>
    <row r="2222" spans="1:6" ht="18" customHeight="1">
      <c r="A2222" s="4" t="s">
        <v>66</v>
      </c>
      <c r="B2222" s="4" t="str">
        <f>"2020012025"</f>
        <v>2020012025</v>
      </c>
      <c r="C2222" s="5">
        <v>62.1</v>
      </c>
      <c r="D2222" s="6">
        <v>62</v>
      </c>
      <c r="E2222" s="7">
        <f t="shared" si="34"/>
        <v>124.1</v>
      </c>
      <c r="F2222" s="8"/>
    </row>
    <row r="2223" spans="1:6" ht="18" customHeight="1">
      <c r="A2223" s="4" t="s">
        <v>66</v>
      </c>
      <c r="B2223" s="4" t="str">
        <f>"2020045613"</f>
        <v>2020045613</v>
      </c>
      <c r="C2223" s="5">
        <v>59.8</v>
      </c>
      <c r="D2223" s="6">
        <v>57.5</v>
      </c>
      <c r="E2223" s="7">
        <f t="shared" si="34"/>
        <v>117.3</v>
      </c>
      <c r="F2223" s="8"/>
    </row>
    <row r="2224" spans="1:6" ht="18" customHeight="1">
      <c r="A2224" s="4" t="s">
        <v>66</v>
      </c>
      <c r="B2224" s="4" t="str">
        <f>"2020047026"</f>
        <v>2020047026</v>
      </c>
      <c r="C2224" s="5">
        <v>0</v>
      </c>
      <c r="D2224" s="6">
        <v>0</v>
      </c>
      <c r="E2224" s="7">
        <f t="shared" si="34"/>
        <v>0</v>
      </c>
      <c r="F2224" s="8" t="s">
        <v>8</v>
      </c>
    </row>
    <row r="2225" spans="1:6" ht="18" customHeight="1">
      <c r="A2225" s="4" t="s">
        <v>67</v>
      </c>
      <c r="B2225" s="4" t="str">
        <f>"2020032113"</f>
        <v>2020032113</v>
      </c>
      <c r="C2225" s="5">
        <v>73.2</v>
      </c>
      <c r="D2225" s="6">
        <v>79</v>
      </c>
      <c r="E2225" s="7">
        <f t="shared" si="34"/>
        <v>152.19999999999999</v>
      </c>
      <c r="F2225" s="8"/>
    </row>
    <row r="2226" spans="1:6" ht="18" customHeight="1">
      <c r="A2226" s="4" t="s">
        <v>67</v>
      </c>
      <c r="B2226" s="4" t="str">
        <f>"2020021624"</f>
        <v>2020021624</v>
      </c>
      <c r="C2226" s="5">
        <v>69.599999999999994</v>
      </c>
      <c r="D2226" s="6">
        <v>82.5</v>
      </c>
      <c r="E2226" s="7">
        <f t="shared" si="34"/>
        <v>152.1</v>
      </c>
      <c r="F2226" s="8"/>
    </row>
    <row r="2227" spans="1:6" ht="18" customHeight="1">
      <c r="A2227" s="4" t="s">
        <v>67</v>
      </c>
      <c r="B2227" s="4" t="str">
        <f>"2020031423"</f>
        <v>2020031423</v>
      </c>
      <c r="C2227" s="5">
        <v>71.099999999999994</v>
      </c>
      <c r="D2227" s="6">
        <v>79.5</v>
      </c>
      <c r="E2227" s="7">
        <f t="shared" si="34"/>
        <v>150.6</v>
      </c>
      <c r="F2227" s="8"/>
    </row>
    <row r="2228" spans="1:6" ht="18" customHeight="1">
      <c r="A2228" s="4" t="s">
        <v>67</v>
      </c>
      <c r="B2228" s="4" t="str">
        <f>"2020041230"</f>
        <v>2020041230</v>
      </c>
      <c r="C2228" s="5">
        <v>74.400000000000006</v>
      </c>
      <c r="D2228" s="6">
        <v>70</v>
      </c>
      <c r="E2228" s="7">
        <f t="shared" si="34"/>
        <v>144.4</v>
      </c>
      <c r="F2228" s="8"/>
    </row>
    <row r="2229" spans="1:6" ht="18" customHeight="1">
      <c r="A2229" s="4" t="s">
        <v>67</v>
      </c>
      <c r="B2229" s="4" t="str">
        <f>"2020021825"</f>
        <v>2020021825</v>
      </c>
      <c r="C2229" s="5">
        <v>64.3</v>
      </c>
      <c r="D2229" s="6">
        <v>72</v>
      </c>
      <c r="E2229" s="7">
        <f t="shared" si="34"/>
        <v>136.30000000000001</v>
      </c>
      <c r="F2229" s="8"/>
    </row>
    <row r="2230" spans="1:6" ht="18" customHeight="1">
      <c r="A2230" s="4" t="s">
        <v>67</v>
      </c>
      <c r="B2230" s="4" t="str">
        <f>"2020022017"</f>
        <v>2020022017</v>
      </c>
      <c r="C2230" s="5">
        <v>65.400000000000006</v>
      </c>
      <c r="D2230" s="6">
        <v>65</v>
      </c>
      <c r="E2230" s="7">
        <f t="shared" si="34"/>
        <v>130.4</v>
      </c>
      <c r="F2230" s="8"/>
    </row>
    <row r="2231" spans="1:6" ht="18" customHeight="1">
      <c r="A2231" s="4" t="s">
        <v>67</v>
      </c>
      <c r="B2231" s="4" t="str">
        <f>"2020043826"</f>
        <v>2020043826</v>
      </c>
      <c r="C2231" s="5">
        <v>56.7</v>
      </c>
      <c r="D2231" s="6">
        <v>65</v>
      </c>
      <c r="E2231" s="7">
        <f t="shared" si="34"/>
        <v>121.7</v>
      </c>
      <c r="F2231" s="8"/>
    </row>
    <row r="2232" spans="1:6" ht="18" customHeight="1">
      <c r="A2232" s="4" t="s">
        <v>67</v>
      </c>
      <c r="B2232" s="4" t="str">
        <f>"2020012704"</f>
        <v>2020012704</v>
      </c>
      <c r="C2232" s="5">
        <v>0</v>
      </c>
      <c r="D2232" s="6">
        <v>0</v>
      </c>
      <c r="E2232" s="7">
        <f t="shared" si="34"/>
        <v>0</v>
      </c>
      <c r="F2232" s="9" t="s">
        <v>8</v>
      </c>
    </row>
    <row r="2233" spans="1:6" ht="18" customHeight="1">
      <c r="A2233" s="4" t="s">
        <v>67</v>
      </c>
      <c r="B2233" s="4" t="str">
        <f>"2020041813"</f>
        <v>2020041813</v>
      </c>
      <c r="C2233" s="5">
        <v>0</v>
      </c>
      <c r="D2233" s="6">
        <v>0</v>
      </c>
      <c r="E2233" s="7">
        <f t="shared" si="34"/>
        <v>0</v>
      </c>
      <c r="F2233" s="8" t="s">
        <v>8</v>
      </c>
    </row>
    <row r="2234" spans="1:6" ht="18" customHeight="1">
      <c r="A2234" s="4" t="s">
        <v>67</v>
      </c>
      <c r="B2234" s="4" t="str">
        <f>"2020043120"</f>
        <v>2020043120</v>
      </c>
      <c r="C2234" s="5">
        <v>0</v>
      </c>
      <c r="D2234" s="6">
        <v>0</v>
      </c>
      <c r="E2234" s="7">
        <f t="shared" si="34"/>
        <v>0</v>
      </c>
      <c r="F2234" s="8" t="s">
        <v>8</v>
      </c>
    </row>
    <row r="2235" spans="1:6" ht="18" customHeight="1">
      <c r="A2235" s="4" t="s">
        <v>68</v>
      </c>
      <c r="B2235" s="4" t="str">
        <f>"2020033419"</f>
        <v>2020033419</v>
      </c>
      <c r="C2235" s="5">
        <v>80.099999999999994</v>
      </c>
      <c r="D2235" s="6">
        <v>79</v>
      </c>
      <c r="E2235" s="7">
        <f t="shared" si="34"/>
        <v>159.1</v>
      </c>
      <c r="F2235" s="8"/>
    </row>
    <row r="2236" spans="1:6" ht="18" customHeight="1">
      <c r="A2236" s="4" t="s">
        <v>68</v>
      </c>
      <c r="B2236" s="4" t="str">
        <f>"2020047424"</f>
        <v>2020047424</v>
      </c>
      <c r="C2236" s="5">
        <v>74.7</v>
      </c>
      <c r="D2236" s="6">
        <v>82.5</v>
      </c>
      <c r="E2236" s="7">
        <f t="shared" si="34"/>
        <v>157.19999999999999</v>
      </c>
      <c r="F2236" s="8"/>
    </row>
    <row r="2237" spans="1:6" ht="18" customHeight="1">
      <c r="A2237" s="4" t="s">
        <v>68</v>
      </c>
      <c r="B2237" s="4" t="str">
        <f>"2020046804"</f>
        <v>2020046804</v>
      </c>
      <c r="C2237" s="5">
        <v>77.900000000000006</v>
      </c>
      <c r="D2237" s="6">
        <v>77.5</v>
      </c>
      <c r="E2237" s="7">
        <f t="shared" si="34"/>
        <v>155.4</v>
      </c>
      <c r="F2237" s="8"/>
    </row>
    <row r="2238" spans="1:6" ht="18" customHeight="1">
      <c r="A2238" s="4" t="s">
        <v>68</v>
      </c>
      <c r="B2238" s="4" t="str">
        <f>"2020012104"</f>
        <v>2020012104</v>
      </c>
      <c r="C2238" s="5">
        <v>65</v>
      </c>
      <c r="D2238" s="6">
        <v>88</v>
      </c>
      <c r="E2238" s="7">
        <f t="shared" si="34"/>
        <v>153</v>
      </c>
      <c r="F2238" s="8"/>
    </row>
    <row r="2239" spans="1:6" ht="18" customHeight="1">
      <c r="A2239" s="4" t="s">
        <v>68</v>
      </c>
      <c r="B2239" s="4" t="str">
        <f>"2020022912"</f>
        <v>2020022912</v>
      </c>
      <c r="C2239" s="5">
        <v>79.2</v>
      </c>
      <c r="D2239" s="6">
        <v>73</v>
      </c>
      <c r="E2239" s="7">
        <f t="shared" si="34"/>
        <v>152.19999999999999</v>
      </c>
      <c r="F2239" s="8"/>
    </row>
    <row r="2240" spans="1:6" ht="18" customHeight="1">
      <c r="A2240" s="4" t="s">
        <v>68</v>
      </c>
      <c r="B2240" s="4" t="str">
        <f>"2020013622"</f>
        <v>2020013622</v>
      </c>
      <c r="C2240" s="5">
        <v>73.400000000000006</v>
      </c>
      <c r="D2240" s="6">
        <v>77</v>
      </c>
      <c r="E2240" s="7">
        <f t="shared" si="34"/>
        <v>150.4</v>
      </c>
      <c r="F2240" s="8"/>
    </row>
    <row r="2241" spans="1:6" ht="18" customHeight="1">
      <c r="A2241" s="4" t="s">
        <v>68</v>
      </c>
      <c r="B2241" s="4" t="str">
        <f>"2020023221"</f>
        <v>2020023221</v>
      </c>
      <c r="C2241" s="5">
        <v>70.099999999999994</v>
      </c>
      <c r="D2241" s="6">
        <v>79.5</v>
      </c>
      <c r="E2241" s="7">
        <f t="shared" si="34"/>
        <v>149.6</v>
      </c>
      <c r="F2241" s="8"/>
    </row>
    <row r="2242" spans="1:6" ht="18" customHeight="1">
      <c r="A2242" s="4" t="s">
        <v>68</v>
      </c>
      <c r="B2242" s="4" t="str">
        <f>"2020013707"</f>
        <v>2020013707</v>
      </c>
      <c r="C2242" s="5">
        <v>68</v>
      </c>
      <c r="D2242" s="6">
        <v>81.5</v>
      </c>
      <c r="E2242" s="7">
        <f t="shared" si="34"/>
        <v>149.5</v>
      </c>
      <c r="F2242" s="8"/>
    </row>
    <row r="2243" spans="1:6" ht="18" customHeight="1">
      <c r="A2243" s="4" t="s">
        <v>68</v>
      </c>
      <c r="B2243" s="4" t="str">
        <f>"2020031930"</f>
        <v>2020031930</v>
      </c>
      <c r="C2243" s="5">
        <v>70.900000000000006</v>
      </c>
      <c r="D2243" s="6">
        <v>77</v>
      </c>
      <c r="E2243" s="7">
        <f t="shared" ref="E2243:E2306" si="35">SUM(C2243:D2243)</f>
        <v>147.9</v>
      </c>
      <c r="F2243" s="8"/>
    </row>
    <row r="2244" spans="1:6" ht="18" customHeight="1">
      <c r="A2244" s="4" t="s">
        <v>68</v>
      </c>
      <c r="B2244" s="4" t="str">
        <f>"2020012213"</f>
        <v>2020012213</v>
      </c>
      <c r="C2244" s="5">
        <v>68</v>
      </c>
      <c r="D2244" s="6">
        <v>79.5</v>
      </c>
      <c r="E2244" s="7">
        <f t="shared" si="35"/>
        <v>147.5</v>
      </c>
      <c r="F2244" s="8"/>
    </row>
    <row r="2245" spans="1:6" ht="18" customHeight="1">
      <c r="A2245" s="4" t="s">
        <v>68</v>
      </c>
      <c r="B2245" s="4" t="str">
        <f>"2020024022"</f>
        <v>2020024022</v>
      </c>
      <c r="C2245" s="5">
        <v>68.8</v>
      </c>
      <c r="D2245" s="6">
        <v>76.5</v>
      </c>
      <c r="E2245" s="7">
        <f t="shared" si="35"/>
        <v>145.30000000000001</v>
      </c>
      <c r="F2245" s="8"/>
    </row>
    <row r="2246" spans="1:6" ht="18" customHeight="1">
      <c r="A2246" s="4" t="s">
        <v>68</v>
      </c>
      <c r="B2246" s="4" t="str">
        <f>"2020044609"</f>
        <v>2020044609</v>
      </c>
      <c r="C2246" s="5">
        <v>65.2</v>
      </c>
      <c r="D2246" s="6">
        <v>80</v>
      </c>
      <c r="E2246" s="7">
        <f t="shared" si="35"/>
        <v>145.19999999999999</v>
      </c>
      <c r="F2246" s="8"/>
    </row>
    <row r="2247" spans="1:6" ht="18" customHeight="1">
      <c r="A2247" s="4" t="s">
        <v>68</v>
      </c>
      <c r="B2247" s="4" t="str">
        <f>"2020023325"</f>
        <v>2020023325</v>
      </c>
      <c r="C2247" s="5">
        <v>74.599999999999994</v>
      </c>
      <c r="D2247" s="6">
        <v>70</v>
      </c>
      <c r="E2247" s="7">
        <f t="shared" si="35"/>
        <v>144.6</v>
      </c>
      <c r="F2247" s="8"/>
    </row>
    <row r="2248" spans="1:6" ht="18" customHeight="1">
      <c r="A2248" s="4" t="s">
        <v>68</v>
      </c>
      <c r="B2248" s="4" t="str">
        <f>"2020020827"</f>
        <v>2020020827</v>
      </c>
      <c r="C2248" s="5">
        <v>66.3</v>
      </c>
      <c r="D2248" s="6">
        <v>78</v>
      </c>
      <c r="E2248" s="7">
        <f t="shared" si="35"/>
        <v>144.30000000000001</v>
      </c>
      <c r="F2248" s="8"/>
    </row>
    <row r="2249" spans="1:6" ht="18" customHeight="1">
      <c r="A2249" s="4" t="s">
        <v>68</v>
      </c>
      <c r="B2249" s="4" t="str">
        <f>"2020031501"</f>
        <v>2020031501</v>
      </c>
      <c r="C2249" s="5">
        <v>70.099999999999994</v>
      </c>
      <c r="D2249" s="6">
        <v>72.5</v>
      </c>
      <c r="E2249" s="7">
        <f t="shared" si="35"/>
        <v>142.6</v>
      </c>
      <c r="F2249" s="8"/>
    </row>
    <row r="2250" spans="1:6" ht="18" customHeight="1">
      <c r="A2250" s="4" t="s">
        <v>68</v>
      </c>
      <c r="B2250" s="4" t="str">
        <f>"2020041628"</f>
        <v>2020041628</v>
      </c>
      <c r="C2250" s="5">
        <v>73.900000000000006</v>
      </c>
      <c r="D2250" s="6">
        <v>68.5</v>
      </c>
      <c r="E2250" s="7">
        <f t="shared" si="35"/>
        <v>142.4</v>
      </c>
      <c r="F2250" s="8"/>
    </row>
    <row r="2251" spans="1:6" ht="18" customHeight="1">
      <c r="A2251" s="4" t="s">
        <v>68</v>
      </c>
      <c r="B2251" s="4" t="str">
        <f>"2020033329"</f>
        <v>2020033329</v>
      </c>
      <c r="C2251" s="5">
        <v>66.7</v>
      </c>
      <c r="D2251" s="6">
        <v>75.5</v>
      </c>
      <c r="E2251" s="7">
        <f t="shared" si="35"/>
        <v>142.19999999999999</v>
      </c>
      <c r="F2251" s="8"/>
    </row>
    <row r="2252" spans="1:6" ht="18" customHeight="1">
      <c r="A2252" s="4" t="s">
        <v>68</v>
      </c>
      <c r="B2252" s="4" t="str">
        <f>"2020031609"</f>
        <v>2020031609</v>
      </c>
      <c r="C2252" s="5">
        <v>69.5</v>
      </c>
      <c r="D2252" s="6">
        <v>72.5</v>
      </c>
      <c r="E2252" s="7">
        <f t="shared" si="35"/>
        <v>142</v>
      </c>
      <c r="F2252" s="8"/>
    </row>
    <row r="2253" spans="1:6" ht="18" customHeight="1">
      <c r="A2253" s="4" t="s">
        <v>68</v>
      </c>
      <c r="B2253" s="4" t="str">
        <f>"2020045205"</f>
        <v>2020045205</v>
      </c>
      <c r="C2253" s="5">
        <v>68.900000000000006</v>
      </c>
      <c r="D2253" s="6">
        <v>73</v>
      </c>
      <c r="E2253" s="7">
        <f t="shared" si="35"/>
        <v>141.9</v>
      </c>
      <c r="F2253" s="8"/>
    </row>
    <row r="2254" spans="1:6" ht="18" customHeight="1">
      <c r="A2254" s="4" t="s">
        <v>68</v>
      </c>
      <c r="B2254" s="4" t="str">
        <f>"2020011802"</f>
        <v>2020011802</v>
      </c>
      <c r="C2254" s="5">
        <v>69.7</v>
      </c>
      <c r="D2254" s="6">
        <v>72</v>
      </c>
      <c r="E2254" s="7">
        <f t="shared" si="35"/>
        <v>141.69999999999999</v>
      </c>
      <c r="F2254" s="8"/>
    </row>
    <row r="2255" spans="1:6" ht="18" customHeight="1">
      <c r="A2255" s="4" t="s">
        <v>68</v>
      </c>
      <c r="B2255" s="4" t="str">
        <f>"2020033909"</f>
        <v>2020033909</v>
      </c>
      <c r="C2255" s="5">
        <v>68.8</v>
      </c>
      <c r="D2255" s="6">
        <v>72.5</v>
      </c>
      <c r="E2255" s="7">
        <f t="shared" si="35"/>
        <v>141.30000000000001</v>
      </c>
      <c r="F2255" s="8"/>
    </row>
    <row r="2256" spans="1:6" ht="18" customHeight="1">
      <c r="A2256" s="4" t="s">
        <v>68</v>
      </c>
      <c r="B2256" s="4" t="str">
        <f>"2020011227"</f>
        <v>2020011227</v>
      </c>
      <c r="C2256" s="5">
        <v>70.3</v>
      </c>
      <c r="D2256" s="6">
        <v>70.5</v>
      </c>
      <c r="E2256" s="7">
        <f t="shared" si="35"/>
        <v>140.80000000000001</v>
      </c>
      <c r="F2256" s="8"/>
    </row>
    <row r="2257" spans="1:6" ht="18" customHeight="1">
      <c r="A2257" s="4" t="s">
        <v>68</v>
      </c>
      <c r="B2257" s="4" t="str">
        <f>"2020020619"</f>
        <v>2020020619</v>
      </c>
      <c r="C2257" s="5">
        <v>69.599999999999994</v>
      </c>
      <c r="D2257" s="6">
        <v>71</v>
      </c>
      <c r="E2257" s="7">
        <f t="shared" si="35"/>
        <v>140.6</v>
      </c>
      <c r="F2257" s="8"/>
    </row>
    <row r="2258" spans="1:6" ht="18" customHeight="1">
      <c r="A2258" s="4" t="s">
        <v>68</v>
      </c>
      <c r="B2258" s="4" t="str">
        <f>"2020031724"</f>
        <v>2020031724</v>
      </c>
      <c r="C2258" s="5">
        <v>68.7</v>
      </c>
      <c r="D2258" s="6">
        <v>71.5</v>
      </c>
      <c r="E2258" s="7">
        <f t="shared" si="35"/>
        <v>140.19999999999999</v>
      </c>
      <c r="F2258" s="8"/>
    </row>
    <row r="2259" spans="1:6" ht="18" customHeight="1">
      <c r="A2259" s="4" t="s">
        <v>68</v>
      </c>
      <c r="B2259" s="4" t="str">
        <f>"2020044921"</f>
        <v>2020044921</v>
      </c>
      <c r="C2259" s="5">
        <v>65.5</v>
      </c>
      <c r="D2259" s="6">
        <v>74.5</v>
      </c>
      <c r="E2259" s="7">
        <f t="shared" si="35"/>
        <v>140</v>
      </c>
      <c r="F2259" s="8"/>
    </row>
    <row r="2260" spans="1:6" ht="18" customHeight="1">
      <c r="A2260" s="4" t="s">
        <v>68</v>
      </c>
      <c r="B2260" s="4" t="str">
        <f>"2020047321"</f>
        <v>2020047321</v>
      </c>
      <c r="C2260" s="5">
        <v>70.3</v>
      </c>
      <c r="D2260" s="6">
        <v>69</v>
      </c>
      <c r="E2260" s="7">
        <f t="shared" si="35"/>
        <v>139.30000000000001</v>
      </c>
      <c r="F2260" s="8"/>
    </row>
    <row r="2261" spans="1:6" ht="18" customHeight="1">
      <c r="A2261" s="4" t="s">
        <v>68</v>
      </c>
      <c r="B2261" s="4" t="str">
        <f>"2020031305"</f>
        <v>2020031305</v>
      </c>
      <c r="C2261" s="5">
        <v>65.3</v>
      </c>
      <c r="D2261" s="6">
        <v>74</v>
      </c>
      <c r="E2261" s="7">
        <f t="shared" si="35"/>
        <v>139.30000000000001</v>
      </c>
      <c r="F2261" s="8"/>
    </row>
    <row r="2262" spans="1:6" ht="18" customHeight="1">
      <c r="A2262" s="4" t="s">
        <v>68</v>
      </c>
      <c r="B2262" s="4" t="str">
        <f>"2020022723"</f>
        <v>2020022723</v>
      </c>
      <c r="C2262" s="5">
        <v>55</v>
      </c>
      <c r="D2262" s="6">
        <v>83.5</v>
      </c>
      <c r="E2262" s="7">
        <f t="shared" si="35"/>
        <v>138.5</v>
      </c>
      <c r="F2262" s="8"/>
    </row>
    <row r="2263" spans="1:6" ht="18" customHeight="1">
      <c r="A2263" s="4" t="s">
        <v>68</v>
      </c>
      <c r="B2263" s="4" t="str">
        <f>"2020040219"</f>
        <v>2020040219</v>
      </c>
      <c r="C2263" s="5">
        <v>64.099999999999994</v>
      </c>
      <c r="D2263" s="6">
        <v>74</v>
      </c>
      <c r="E2263" s="7">
        <f t="shared" si="35"/>
        <v>138.1</v>
      </c>
      <c r="F2263" s="8"/>
    </row>
    <row r="2264" spans="1:6" ht="18" customHeight="1">
      <c r="A2264" s="4" t="s">
        <v>68</v>
      </c>
      <c r="B2264" s="4" t="str">
        <f>"2020031606"</f>
        <v>2020031606</v>
      </c>
      <c r="C2264" s="5">
        <v>67.5</v>
      </c>
      <c r="D2264" s="6">
        <v>70.5</v>
      </c>
      <c r="E2264" s="7">
        <f t="shared" si="35"/>
        <v>138</v>
      </c>
      <c r="F2264" s="8"/>
    </row>
    <row r="2265" spans="1:6" ht="18" customHeight="1">
      <c r="A2265" s="4" t="s">
        <v>68</v>
      </c>
      <c r="B2265" s="4" t="str">
        <f>"2020042810"</f>
        <v>2020042810</v>
      </c>
      <c r="C2265" s="5">
        <v>65</v>
      </c>
      <c r="D2265" s="6">
        <v>72.5</v>
      </c>
      <c r="E2265" s="7">
        <f t="shared" si="35"/>
        <v>137.5</v>
      </c>
      <c r="F2265" s="8"/>
    </row>
    <row r="2266" spans="1:6" ht="18" customHeight="1">
      <c r="A2266" s="4" t="s">
        <v>68</v>
      </c>
      <c r="B2266" s="4" t="str">
        <f>"2020020507"</f>
        <v>2020020507</v>
      </c>
      <c r="C2266" s="5">
        <v>72.400000000000006</v>
      </c>
      <c r="D2266" s="6">
        <v>63.5</v>
      </c>
      <c r="E2266" s="7">
        <f t="shared" si="35"/>
        <v>135.9</v>
      </c>
      <c r="F2266" s="8"/>
    </row>
    <row r="2267" spans="1:6" ht="18" customHeight="1">
      <c r="A2267" s="4" t="s">
        <v>68</v>
      </c>
      <c r="B2267" s="4" t="str">
        <f>"2020042518"</f>
        <v>2020042518</v>
      </c>
      <c r="C2267" s="5">
        <v>70.3</v>
      </c>
      <c r="D2267" s="6">
        <v>65.5</v>
      </c>
      <c r="E2267" s="7">
        <f t="shared" si="35"/>
        <v>135.80000000000001</v>
      </c>
      <c r="F2267" s="8"/>
    </row>
    <row r="2268" spans="1:6" ht="18" customHeight="1">
      <c r="A2268" s="4" t="s">
        <v>68</v>
      </c>
      <c r="B2268" s="4" t="str">
        <f>"2020023308"</f>
        <v>2020023308</v>
      </c>
      <c r="C2268" s="5">
        <v>65.8</v>
      </c>
      <c r="D2268" s="6">
        <v>70</v>
      </c>
      <c r="E2268" s="7">
        <f t="shared" si="35"/>
        <v>135.80000000000001</v>
      </c>
      <c r="F2268" s="8"/>
    </row>
    <row r="2269" spans="1:6" ht="18" customHeight="1">
      <c r="A2269" s="4" t="s">
        <v>68</v>
      </c>
      <c r="B2269" s="4" t="str">
        <f>"2020020116"</f>
        <v>2020020116</v>
      </c>
      <c r="C2269" s="5">
        <v>69.5</v>
      </c>
      <c r="D2269" s="6">
        <v>65</v>
      </c>
      <c r="E2269" s="7">
        <f t="shared" si="35"/>
        <v>134.5</v>
      </c>
      <c r="F2269" s="8"/>
    </row>
    <row r="2270" spans="1:6" ht="18" customHeight="1">
      <c r="A2270" s="4" t="s">
        <v>68</v>
      </c>
      <c r="B2270" s="4" t="str">
        <f>"2020022424"</f>
        <v>2020022424</v>
      </c>
      <c r="C2270" s="5">
        <v>62.5</v>
      </c>
      <c r="D2270" s="6">
        <v>72</v>
      </c>
      <c r="E2270" s="7">
        <f t="shared" si="35"/>
        <v>134.5</v>
      </c>
      <c r="F2270" s="8"/>
    </row>
    <row r="2271" spans="1:6" ht="18" customHeight="1">
      <c r="A2271" s="4" t="s">
        <v>68</v>
      </c>
      <c r="B2271" s="4" t="str">
        <f>"2020042303"</f>
        <v>2020042303</v>
      </c>
      <c r="C2271" s="5">
        <v>64.7</v>
      </c>
      <c r="D2271" s="6">
        <v>69.5</v>
      </c>
      <c r="E2271" s="7">
        <f t="shared" si="35"/>
        <v>134.19999999999999</v>
      </c>
      <c r="F2271" s="8"/>
    </row>
    <row r="2272" spans="1:6" ht="18" customHeight="1">
      <c r="A2272" s="4" t="s">
        <v>68</v>
      </c>
      <c r="B2272" s="4" t="str">
        <f>"2020020830"</f>
        <v>2020020830</v>
      </c>
      <c r="C2272" s="5">
        <v>62.7</v>
      </c>
      <c r="D2272" s="6">
        <v>69.5</v>
      </c>
      <c r="E2272" s="7">
        <f t="shared" si="35"/>
        <v>132.19999999999999</v>
      </c>
      <c r="F2272" s="8"/>
    </row>
    <row r="2273" spans="1:6" ht="18" customHeight="1">
      <c r="A2273" s="4" t="s">
        <v>68</v>
      </c>
      <c r="B2273" s="4" t="str">
        <f>"2020041718"</f>
        <v>2020041718</v>
      </c>
      <c r="C2273" s="5">
        <v>63</v>
      </c>
      <c r="D2273" s="6">
        <v>67</v>
      </c>
      <c r="E2273" s="7">
        <f t="shared" si="35"/>
        <v>130</v>
      </c>
      <c r="F2273" s="8"/>
    </row>
    <row r="2274" spans="1:6" ht="18" customHeight="1">
      <c r="A2274" s="4" t="s">
        <v>68</v>
      </c>
      <c r="B2274" s="4" t="str">
        <f>"2020032416"</f>
        <v>2020032416</v>
      </c>
      <c r="C2274" s="5">
        <v>64.400000000000006</v>
      </c>
      <c r="D2274" s="6">
        <v>64.5</v>
      </c>
      <c r="E2274" s="7">
        <f t="shared" si="35"/>
        <v>128.9</v>
      </c>
      <c r="F2274" s="8"/>
    </row>
    <row r="2275" spans="1:6" ht="18" customHeight="1">
      <c r="A2275" s="4" t="s">
        <v>68</v>
      </c>
      <c r="B2275" s="4" t="str">
        <f>"2020040201"</f>
        <v>2020040201</v>
      </c>
      <c r="C2275" s="5">
        <v>63.3</v>
      </c>
      <c r="D2275" s="6">
        <v>64</v>
      </c>
      <c r="E2275" s="7">
        <f t="shared" si="35"/>
        <v>127.3</v>
      </c>
      <c r="F2275" s="8"/>
    </row>
    <row r="2276" spans="1:6" ht="18" customHeight="1">
      <c r="A2276" s="4" t="s">
        <v>68</v>
      </c>
      <c r="B2276" s="4" t="str">
        <f>"2020032317"</f>
        <v>2020032317</v>
      </c>
      <c r="C2276" s="5">
        <v>64.599999999999994</v>
      </c>
      <c r="D2276" s="6">
        <v>62.5</v>
      </c>
      <c r="E2276" s="7">
        <f t="shared" si="35"/>
        <v>127.1</v>
      </c>
      <c r="F2276" s="8"/>
    </row>
    <row r="2277" spans="1:6" ht="18" customHeight="1">
      <c r="A2277" s="4" t="s">
        <v>68</v>
      </c>
      <c r="B2277" s="4" t="str">
        <f>"2020043604"</f>
        <v>2020043604</v>
      </c>
      <c r="C2277" s="5">
        <v>69.900000000000006</v>
      </c>
      <c r="D2277" s="6">
        <v>56.5</v>
      </c>
      <c r="E2277" s="7">
        <f t="shared" si="35"/>
        <v>126.4</v>
      </c>
      <c r="F2277" s="8"/>
    </row>
    <row r="2278" spans="1:6" ht="18" customHeight="1">
      <c r="A2278" s="4" t="s">
        <v>68</v>
      </c>
      <c r="B2278" s="4" t="str">
        <f>"2020021415"</f>
        <v>2020021415</v>
      </c>
      <c r="C2278" s="5">
        <v>57</v>
      </c>
      <c r="D2278" s="6">
        <v>58.5</v>
      </c>
      <c r="E2278" s="7">
        <f t="shared" si="35"/>
        <v>115.5</v>
      </c>
      <c r="F2278" s="8"/>
    </row>
    <row r="2279" spans="1:6" ht="18" customHeight="1">
      <c r="A2279" s="4" t="s">
        <v>68</v>
      </c>
      <c r="B2279" s="4" t="str">
        <f>"2020031701"</f>
        <v>2020031701</v>
      </c>
      <c r="C2279" s="5">
        <v>59.2</v>
      </c>
      <c r="D2279" s="6">
        <v>56</v>
      </c>
      <c r="E2279" s="7">
        <f t="shared" si="35"/>
        <v>115.2</v>
      </c>
      <c r="F2279" s="8"/>
    </row>
    <row r="2280" spans="1:6" ht="18" customHeight="1">
      <c r="A2280" s="4" t="s">
        <v>68</v>
      </c>
      <c r="B2280" s="4" t="str">
        <f>"2020022527"</f>
        <v>2020022527</v>
      </c>
      <c r="C2280" s="5">
        <v>56.7</v>
      </c>
      <c r="D2280" s="6">
        <v>58.5</v>
      </c>
      <c r="E2280" s="7">
        <f t="shared" si="35"/>
        <v>115.2</v>
      </c>
      <c r="F2280" s="8"/>
    </row>
    <row r="2281" spans="1:6" ht="18" customHeight="1">
      <c r="A2281" s="4" t="s">
        <v>68</v>
      </c>
      <c r="B2281" s="4" t="str">
        <f>"2020046115"</f>
        <v>2020046115</v>
      </c>
      <c r="C2281" s="5">
        <v>60.6</v>
      </c>
      <c r="D2281" s="6">
        <v>53.5</v>
      </c>
      <c r="E2281" s="7">
        <f t="shared" si="35"/>
        <v>114.1</v>
      </c>
      <c r="F2281" s="8"/>
    </row>
    <row r="2282" spans="1:6" ht="18" customHeight="1">
      <c r="A2282" s="4" t="s">
        <v>68</v>
      </c>
      <c r="B2282" s="4" t="str">
        <f>"2020040225"</f>
        <v>2020040225</v>
      </c>
      <c r="C2282" s="5">
        <v>58.4</v>
      </c>
      <c r="D2282" s="6">
        <v>55.5</v>
      </c>
      <c r="E2282" s="7">
        <f t="shared" si="35"/>
        <v>113.9</v>
      </c>
      <c r="F2282" s="8"/>
    </row>
    <row r="2283" spans="1:6" ht="18" customHeight="1">
      <c r="A2283" s="4" t="s">
        <v>68</v>
      </c>
      <c r="B2283" s="4" t="str">
        <f>"2020021420"</f>
        <v>2020021420</v>
      </c>
      <c r="C2283" s="5">
        <v>62.1</v>
      </c>
      <c r="D2283" s="6">
        <v>51</v>
      </c>
      <c r="E2283" s="7">
        <f t="shared" si="35"/>
        <v>113.1</v>
      </c>
      <c r="F2283" s="8"/>
    </row>
    <row r="2284" spans="1:6" ht="18" customHeight="1">
      <c r="A2284" s="4" t="s">
        <v>68</v>
      </c>
      <c r="B2284" s="4" t="str">
        <f>"2020046524"</f>
        <v>2020046524</v>
      </c>
      <c r="C2284" s="5">
        <v>56.3</v>
      </c>
      <c r="D2284" s="6">
        <v>56.5</v>
      </c>
      <c r="E2284" s="7">
        <f t="shared" si="35"/>
        <v>112.8</v>
      </c>
      <c r="F2284" s="8"/>
    </row>
    <row r="2285" spans="1:6" ht="18" customHeight="1">
      <c r="A2285" s="4" t="s">
        <v>68</v>
      </c>
      <c r="B2285" s="4" t="str">
        <f>"2020010206"</f>
        <v>2020010206</v>
      </c>
      <c r="C2285" s="5">
        <v>0</v>
      </c>
      <c r="D2285" s="6">
        <v>0</v>
      </c>
      <c r="E2285" s="7">
        <f t="shared" si="35"/>
        <v>0</v>
      </c>
      <c r="F2285" s="9" t="s">
        <v>8</v>
      </c>
    </row>
    <row r="2286" spans="1:6" ht="18" customHeight="1">
      <c r="A2286" s="4" t="s">
        <v>68</v>
      </c>
      <c r="B2286" s="4" t="str">
        <f>"2020010808"</f>
        <v>2020010808</v>
      </c>
      <c r="C2286" s="5">
        <v>0</v>
      </c>
      <c r="D2286" s="6">
        <v>0</v>
      </c>
      <c r="E2286" s="7">
        <f t="shared" si="35"/>
        <v>0</v>
      </c>
      <c r="F2286" s="9" t="s">
        <v>8</v>
      </c>
    </row>
    <row r="2287" spans="1:6" ht="18" customHeight="1">
      <c r="A2287" s="4" t="s">
        <v>68</v>
      </c>
      <c r="B2287" s="4" t="str">
        <f>"2020011919"</f>
        <v>2020011919</v>
      </c>
      <c r="C2287" s="5">
        <v>0</v>
      </c>
      <c r="D2287" s="6">
        <v>0</v>
      </c>
      <c r="E2287" s="7">
        <f t="shared" si="35"/>
        <v>0</v>
      </c>
      <c r="F2287" s="9" t="s">
        <v>8</v>
      </c>
    </row>
    <row r="2288" spans="1:6" ht="18" customHeight="1">
      <c r="A2288" s="4" t="s">
        <v>68</v>
      </c>
      <c r="B2288" s="4" t="str">
        <f>"2020012907"</f>
        <v>2020012907</v>
      </c>
      <c r="C2288" s="5">
        <v>0</v>
      </c>
      <c r="D2288" s="6">
        <v>0</v>
      </c>
      <c r="E2288" s="7">
        <f t="shared" si="35"/>
        <v>0</v>
      </c>
      <c r="F2288" s="9" t="s">
        <v>8</v>
      </c>
    </row>
    <row r="2289" spans="1:6" ht="18" customHeight="1">
      <c r="A2289" s="4" t="s">
        <v>68</v>
      </c>
      <c r="B2289" s="4" t="str">
        <f>"2020020304"</f>
        <v>2020020304</v>
      </c>
      <c r="C2289" s="5">
        <v>0</v>
      </c>
      <c r="D2289" s="6">
        <v>0</v>
      </c>
      <c r="E2289" s="7">
        <f t="shared" si="35"/>
        <v>0</v>
      </c>
      <c r="F2289" s="8" t="s">
        <v>8</v>
      </c>
    </row>
    <row r="2290" spans="1:6" ht="18" customHeight="1">
      <c r="A2290" s="4" t="s">
        <v>68</v>
      </c>
      <c r="B2290" s="4" t="str">
        <f>"2020020323"</f>
        <v>2020020323</v>
      </c>
      <c r="C2290" s="5">
        <v>0</v>
      </c>
      <c r="D2290" s="6">
        <v>0</v>
      </c>
      <c r="E2290" s="7">
        <f t="shared" si="35"/>
        <v>0</v>
      </c>
      <c r="F2290" s="8" t="s">
        <v>8</v>
      </c>
    </row>
    <row r="2291" spans="1:6" ht="18" customHeight="1">
      <c r="A2291" s="4" t="s">
        <v>68</v>
      </c>
      <c r="B2291" s="4" t="str">
        <f>"2020021721"</f>
        <v>2020021721</v>
      </c>
      <c r="C2291" s="5">
        <v>0</v>
      </c>
      <c r="D2291" s="6">
        <v>0</v>
      </c>
      <c r="E2291" s="7">
        <f t="shared" si="35"/>
        <v>0</v>
      </c>
      <c r="F2291" s="8" t="s">
        <v>8</v>
      </c>
    </row>
    <row r="2292" spans="1:6" ht="18" customHeight="1">
      <c r="A2292" s="4" t="s">
        <v>68</v>
      </c>
      <c r="B2292" s="4" t="str">
        <f>"2020023226"</f>
        <v>2020023226</v>
      </c>
      <c r="C2292" s="5">
        <v>0</v>
      </c>
      <c r="D2292" s="6">
        <v>0</v>
      </c>
      <c r="E2292" s="7">
        <f t="shared" si="35"/>
        <v>0</v>
      </c>
      <c r="F2292" s="8" t="s">
        <v>8</v>
      </c>
    </row>
    <row r="2293" spans="1:6" ht="18" customHeight="1">
      <c r="A2293" s="4" t="s">
        <v>68</v>
      </c>
      <c r="B2293" s="4" t="str">
        <f>"2020023915"</f>
        <v>2020023915</v>
      </c>
      <c r="C2293" s="5">
        <v>0</v>
      </c>
      <c r="D2293" s="6">
        <v>0</v>
      </c>
      <c r="E2293" s="7">
        <f t="shared" si="35"/>
        <v>0</v>
      </c>
      <c r="F2293" s="8" t="s">
        <v>8</v>
      </c>
    </row>
    <row r="2294" spans="1:6" ht="18" customHeight="1">
      <c r="A2294" s="4" t="s">
        <v>68</v>
      </c>
      <c r="B2294" s="4" t="str">
        <f>"2020024103"</f>
        <v>2020024103</v>
      </c>
      <c r="C2294" s="5">
        <v>0</v>
      </c>
      <c r="D2294" s="6">
        <v>0</v>
      </c>
      <c r="E2294" s="7">
        <f t="shared" si="35"/>
        <v>0</v>
      </c>
      <c r="F2294" s="8" t="s">
        <v>8</v>
      </c>
    </row>
    <row r="2295" spans="1:6" ht="18" customHeight="1">
      <c r="A2295" s="4" t="s">
        <v>68</v>
      </c>
      <c r="B2295" s="4" t="str">
        <f>"2020024410"</f>
        <v>2020024410</v>
      </c>
      <c r="C2295" s="5">
        <v>0</v>
      </c>
      <c r="D2295" s="6">
        <v>0</v>
      </c>
      <c r="E2295" s="7">
        <f t="shared" si="35"/>
        <v>0</v>
      </c>
      <c r="F2295" s="8" t="s">
        <v>8</v>
      </c>
    </row>
    <row r="2296" spans="1:6" ht="18" customHeight="1">
      <c r="A2296" s="4" t="s">
        <v>68</v>
      </c>
      <c r="B2296" s="4" t="str">
        <f>"2020030921"</f>
        <v>2020030921</v>
      </c>
      <c r="C2296" s="5">
        <v>0</v>
      </c>
      <c r="D2296" s="6">
        <v>0</v>
      </c>
      <c r="E2296" s="7">
        <f t="shared" si="35"/>
        <v>0</v>
      </c>
      <c r="F2296" s="8" t="s">
        <v>8</v>
      </c>
    </row>
    <row r="2297" spans="1:6" ht="18" customHeight="1">
      <c r="A2297" s="4" t="s">
        <v>68</v>
      </c>
      <c r="B2297" s="4" t="str">
        <f>"2020030928"</f>
        <v>2020030928</v>
      </c>
      <c r="C2297" s="5">
        <v>0</v>
      </c>
      <c r="D2297" s="6">
        <v>0</v>
      </c>
      <c r="E2297" s="7">
        <f t="shared" si="35"/>
        <v>0</v>
      </c>
      <c r="F2297" s="8" t="s">
        <v>8</v>
      </c>
    </row>
    <row r="2298" spans="1:6" ht="18" customHeight="1">
      <c r="A2298" s="4" t="s">
        <v>68</v>
      </c>
      <c r="B2298" s="4" t="str">
        <f>"2020033009"</f>
        <v>2020033009</v>
      </c>
      <c r="C2298" s="5">
        <v>0</v>
      </c>
      <c r="D2298" s="6">
        <v>0</v>
      </c>
      <c r="E2298" s="7">
        <f t="shared" si="35"/>
        <v>0</v>
      </c>
      <c r="F2298" s="8" t="s">
        <v>8</v>
      </c>
    </row>
    <row r="2299" spans="1:6" ht="18" customHeight="1">
      <c r="A2299" s="4" t="s">
        <v>68</v>
      </c>
      <c r="B2299" s="4" t="str">
        <f>"2020040414"</f>
        <v>2020040414</v>
      </c>
      <c r="C2299" s="5">
        <v>0</v>
      </c>
      <c r="D2299" s="6">
        <v>0</v>
      </c>
      <c r="E2299" s="7">
        <f t="shared" si="35"/>
        <v>0</v>
      </c>
      <c r="F2299" s="8" t="s">
        <v>8</v>
      </c>
    </row>
    <row r="2300" spans="1:6" ht="18" customHeight="1">
      <c r="A2300" s="4" t="s">
        <v>68</v>
      </c>
      <c r="B2300" s="4" t="str">
        <f>"2020040430"</f>
        <v>2020040430</v>
      </c>
      <c r="C2300" s="5">
        <v>0</v>
      </c>
      <c r="D2300" s="6">
        <v>0</v>
      </c>
      <c r="E2300" s="7">
        <f t="shared" si="35"/>
        <v>0</v>
      </c>
      <c r="F2300" s="8" t="s">
        <v>8</v>
      </c>
    </row>
    <row r="2301" spans="1:6" ht="18" customHeight="1">
      <c r="A2301" s="4" t="s">
        <v>68</v>
      </c>
      <c r="B2301" s="4" t="str">
        <f>"2020040625"</f>
        <v>2020040625</v>
      </c>
      <c r="C2301" s="5">
        <v>0</v>
      </c>
      <c r="D2301" s="6">
        <v>0</v>
      </c>
      <c r="E2301" s="7">
        <f t="shared" si="35"/>
        <v>0</v>
      </c>
      <c r="F2301" s="8" t="s">
        <v>8</v>
      </c>
    </row>
    <row r="2302" spans="1:6" ht="18" customHeight="1">
      <c r="A2302" s="4" t="s">
        <v>68</v>
      </c>
      <c r="B2302" s="4" t="str">
        <f>"2020042019"</f>
        <v>2020042019</v>
      </c>
      <c r="C2302" s="5">
        <v>0</v>
      </c>
      <c r="D2302" s="6">
        <v>0</v>
      </c>
      <c r="E2302" s="7">
        <f t="shared" si="35"/>
        <v>0</v>
      </c>
      <c r="F2302" s="8" t="s">
        <v>8</v>
      </c>
    </row>
    <row r="2303" spans="1:6" ht="18" customHeight="1">
      <c r="A2303" s="4" t="s">
        <v>68</v>
      </c>
      <c r="B2303" s="4" t="str">
        <f>"2020042609"</f>
        <v>2020042609</v>
      </c>
      <c r="C2303" s="5">
        <v>0</v>
      </c>
      <c r="D2303" s="6">
        <v>0</v>
      </c>
      <c r="E2303" s="7">
        <f t="shared" si="35"/>
        <v>0</v>
      </c>
      <c r="F2303" s="8" t="s">
        <v>8</v>
      </c>
    </row>
    <row r="2304" spans="1:6" ht="18" customHeight="1">
      <c r="A2304" s="4" t="s">
        <v>68</v>
      </c>
      <c r="B2304" s="4" t="str">
        <f>"2020043215"</f>
        <v>2020043215</v>
      </c>
      <c r="C2304" s="5">
        <v>0</v>
      </c>
      <c r="D2304" s="6">
        <v>0</v>
      </c>
      <c r="E2304" s="7">
        <f t="shared" si="35"/>
        <v>0</v>
      </c>
      <c r="F2304" s="8" t="s">
        <v>8</v>
      </c>
    </row>
    <row r="2305" spans="1:6" ht="18" customHeight="1">
      <c r="A2305" s="4" t="s">
        <v>68</v>
      </c>
      <c r="B2305" s="4" t="str">
        <f>"2020044020"</f>
        <v>2020044020</v>
      </c>
      <c r="C2305" s="5">
        <v>0</v>
      </c>
      <c r="D2305" s="6">
        <v>0</v>
      </c>
      <c r="E2305" s="7">
        <f t="shared" si="35"/>
        <v>0</v>
      </c>
      <c r="F2305" s="8" t="s">
        <v>8</v>
      </c>
    </row>
    <row r="2306" spans="1:6" ht="18" customHeight="1">
      <c r="A2306" s="4" t="s">
        <v>68</v>
      </c>
      <c r="B2306" s="4" t="str">
        <f>"2020044630"</f>
        <v>2020044630</v>
      </c>
      <c r="C2306" s="5">
        <v>0</v>
      </c>
      <c r="D2306" s="6">
        <v>0</v>
      </c>
      <c r="E2306" s="7">
        <f t="shared" si="35"/>
        <v>0</v>
      </c>
      <c r="F2306" s="8" t="s">
        <v>8</v>
      </c>
    </row>
    <row r="2307" spans="1:6" ht="18" customHeight="1">
      <c r="A2307" s="4" t="s">
        <v>68</v>
      </c>
      <c r="B2307" s="4" t="str">
        <f>"2020045220"</f>
        <v>2020045220</v>
      </c>
      <c r="C2307" s="5">
        <v>0</v>
      </c>
      <c r="D2307" s="6">
        <v>0</v>
      </c>
      <c r="E2307" s="7">
        <f t="shared" ref="E2307:E2370" si="36">SUM(C2307:D2307)</f>
        <v>0</v>
      </c>
      <c r="F2307" s="8" t="s">
        <v>8</v>
      </c>
    </row>
    <row r="2308" spans="1:6" ht="18" customHeight="1">
      <c r="A2308" s="4" t="s">
        <v>68</v>
      </c>
      <c r="B2308" s="4" t="str">
        <f>"2020047503"</f>
        <v>2020047503</v>
      </c>
      <c r="C2308" s="5">
        <v>0</v>
      </c>
      <c r="D2308" s="6">
        <v>0</v>
      </c>
      <c r="E2308" s="7">
        <f t="shared" si="36"/>
        <v>0</v>
      </c>
      <c r="F2308" s="8" t="s">
        <v>8</v>
      </c>
    </row>
    <row r="2309" spans="1:6" ht="18" customHeight="1">
      <c r="A2309" s="4" t="s">
        <v>69</v>
      </c>
      <c r="B2309" s="4" t="str">
        <f>"2020031329"</f>
        <v>2020031329</v>
      </c>
      <c r="C2309" s="5">
        <v>67.8</v>
      </c>
      <c r="D2309" s="6">
        <v>89.5</v>
      </c>
      <c r="E2309" s="7">
        <f t="shared" si="36"/>
        <v>157.30000000000001</v>
      </c>
      <c r="F2309" s="8"/>
    </row>
    <row r="2310" spans="1:6" ht="18" customHeight="1">
      <c r="A2310" s="4" t="s">
        <v>69</v>
      </c>
      <c r="B2310" s="4" t="str">
        <f>"2020012806"</f>
        <v>2020012806</v>
      </c>
      <c r="C2310" s="5">
        <v>75.400000000000006</v>
      </c>
      <c r="D2310" s="6">
        <v>73</v>
      </c>
      <c r="E2310" s="7">
        <f t="shared" si="36"/>
        <v>148.4</v>
      </c>
      <c r="F2310" s="8"/>
    </row>
    <row r="2311" spans="1:6" ht="18" customHeight="1">
      <c r="A2311" s="4" t="s">
        <v>69</v>
      </c>
      <c r="B2311" s="4" t="str">
        <f>"2020043830"</f>
        <v>2020043830</v>
      </c>
      <c r="C2311" s="5">
        <v>70.7</v>
      </c>
      <c r="D2311" s="6">
        <v>77</v>
      </c>
      <c r="E2311" s="7">
        <f t="shared" si="36"/>
        <v>147.69999999999999</v>
      </c>
      <c r="F2311" s="8"/>
    </row>
    <row r="2312" spans="1:6" ht="18" customHeight="1">
      <c r="A2312" s="4" t="s">
        <v>69</v>
      </c>
      <c r="B2312" s="4" t="str">
        <f>"2020033322"</f>
        <v>2020033322</v>
      </c>
      <c r="C2312" s="5">
        <v>74.5</v>
      </c>
      <c r="D2312" s="6">
        <v>69</v>
      </c>
      <c r="E2312" s="7">
        <f t="shared" si="36"/>
        <v>143.5</v>
      </c>
      <c r="F2312" s="8"/>
    </row>
    <row r="2313" spans="1:6" ht="18" customHeight="1">
      <c r="A2313" s="4" t="s">
        <v>69</v>
      </c>
      <c r="B2313" s="4" t="str">
        <f>"2020020625"</f>
        <v>2020020625</v>
      </c>
      <c r="C2313" s="5">
        <v>75.8</v>
      </c>
      <c r="D2313" s="6">
        <v>67</v>
      </c>
      <c r="E2313" s="7">
        <f t="shared" si="36"/>
        <v>142.80000000000001</v>
      </c>
      <c r="F2313" s="8"/>
    </row>
    <row r="2314" spans="1:6" ht="18" customHeight="1">
      <c r="A2314" s="4" t="s">
        <v>69</v>
      </c>
      <c r="B2314" s="4" t="str">
        <f>"2020041004"</f>
        <v>2020041004</v>
      </c>
      <c r="C2314" s="5">
        <v>69.2</v>
      </c>
      <c r="D2314" s="6">
        <v>72.5</v>
      </c>
      <c r="E2314" s="7">
        <f t="shared" si="36"/>
        <v>141.69999999999999</v>
      </c>
      <c r="F2314" s="8"/>
    </row>
    <row r="2315" spans="1:6" ht="18" customHeight="1">
      <c r="A2315" s="4" t="s">
        <v>69</v>
      </c>
      <c r="B2315" s="4" t="str">
        <f>"2020044912"</f>
        <v>2020044912</v>
      </c>
      <c r="C2315" s="5">
        <v>73.900000000000006</v>
      </c>
      <c r="D2315" s="6">
        <v>64.5</v>
      </c>
      <c r="E2315" s="7">
        <f t="shared" si="36"/>
        <v>138.4</v>
      </c>
      <c r="F2315" s="8"/>
    </row>
    <row r="2316" spans="1:6" ht="18" customHeight="1">
      <c r="A2316" s="4" t="s">
        <v>69</v>
      </c>
      <c r="B2316" s="4" t="str">
        <f>"2020043318"</f>
        <v>2020043318</v>
      </c>
      <c r="C2316" s="5">
        <v>66.7</v>
      </c>
      <c r="D2316" s="6">
        <v>66</v>
      </c>
      <c r="E2316" s="7">
        <f t="shared" si="36"/>
        <v>132.69999999999999</v>
      </c>
      <c r="F2316" s="8"/>
    </row>
    <row r="2317" spans="1:6" ht="18" customHeight="1">
      <c r="A2317" s="4" t="s">
        <v>69</v>
      </c>
      <c r="B2317" s="4" t="str">
        <f>"2020040717"</f>
        <v>2020040717</v>
      </c>
      <c r="C2317" s="5">
        <v>69.5</v>
      </c>
      <c r="D2317" s="6">
        <v>61</v>
      </c>
      <c r="E2317" s="7">
        <f t="shared" si="36"/>
        <v>130.5</v>
      </c>
      <c r="F2317" s="8"/>
    </row>
    <row r="2318" spans="1:6" ht="18" customHeight="1">
      <c r="A2318" s="4" t="s">
        <v>69</v>
      </c>
      <c r="B2318" s="4" t="str">
        <f>"2020022622"</f>
        <v>2020022622</v>
      </c>
      <c r="C2318" s="5">
        <v>67</v>
      </c>
      <c r="D2318" s="6">
        <v>62</v>
      </c>
      <c r="E2318" s="7">
        <f t="shared" si="36"/>
        <v>129</v>
      </c>
      <c r="F2318" s="8"/>
    </row>
    <row r="2319" spans="1:6" ht="18" customHeight="1">
      <c r="A2319" s="4" t="s">
        <v>70</v>
      </c>
      <c r="B2319" s="4" t="str">
        <f>"2020042219"</f>
        <v>2020042219</v>
      </c>
      <c r="C2319" s="5">
        <v>66.599999999999994</v>
      </c>
      <c r="D2319" s="6">
        <v>80</v>
      </c>
      <c r="E2319" s="7">
        <f t="shared" si="36"/>
        <v>146.6</v>
      </c>
      <c r="F2319" s="8"/>
    </row>
    <row r="2320" spans="1:6" ht="18" customHeight="1">
      <c r="A2320" s="4" t="s">
        <v>70</v>
      </c>
      <c r="B2320" s="4" t="str">
        <f>"2020030221"</f>
        <v>2020030221</v>
      </c>
      <c r="C2320" s="5">
        <v>76.7</v>
      </c>
      <c r="D2320" s="6">
        <v>62.5</v>
      </c>
      <c r="E2320" s="7">
        <f t="shared" si="36"/>
        <v>139.19999999999999</v>
      </c>
      <c r="F2320" s="8"/>
    </row>
    <row r="2321" spans="1:6" ht="18" customHeight="1">
      <c r="A2321" s="4" t="s">
        <v>70</v>
      </c>
      <c r="B2321" s="4" t="str">
        <f>"2020032330"</f>
        <v>2020032330</v>
      </c>
      <c r="C2321" s="5">
        <v>0</v>
      </c>
      <c r="D2321" s="6">
        <v>0</v>
      </c>
      <c r="E2321" s="7">
        <f t="shared" si="36"/>
        <v>0</v>
      </c>
      <c r="F2321" s="8" t="s">
        <v>8</v>
      </c>
    </row>
    <row r="2322" spans="1:6" ht="18" customHeight="1">
      <c r="A2322" s="4" t="s">
        <v>71</v>
      </c>
      <c r="B2322" s="4" t="str">
        <f>"2020021321"</f>
        <v>2020021321</v>
      </c>
      <c r="C2322" s="5">
        <v>79.099999999999994</v>
      </c>
      <c r="D2322" s="6">
        <v>79.5</v>
      </c>
      <c r="E2322" s="7">
        <f t="shared" si="36"/>
        <v>158.6</v>
      </c>
      <c r="F2322" s="8"/>
    </row>
    <row r="2323" spans="1:6" ht="18" customHeight="1">
      <c r="A2323" s="4" t="s">
        <v>71</v>
      </c>
      <c r="B2323" s="4" t="str">
        <f>"2020031410"</f>
        <v>2020031410</v>
      </c>
      <c r="C2323" s="5">
        <v>74.599999999999994</v>
      </c>
      <c r="D2323" s="6">
        <v>83</v>
      </c>
      <c r="E2323" s="7">
        <f t="shared" si="36"/>
        <v>157.6</v>
      </c>
      <c r="F2323" s="8"/>
    </row>
    <row r="2324" spans="1:6" ht="18" customHeight="1">
      <c r="A2324" s="4" t="s">
        <v>71</v>
      </c>
      <c r="B2324" s="4" t="str">
        <f>"2020011017"</f>
        <v>2020011017</v>
      </c>
      <c r="C2324" s="5">
        <v>71.599999999999994</v>
      </c>
      <c r="D2324" s="6">
        <v>85.5</v>
      </c>
      <c r="E2324" s="7">
        <f t="shared" si="36"/>
        <v>157.1</v>
      </c>
      <c r="F2324" s="8"/>
    </row>
    <row r="2325" spans="1:6" ht="18" customHeight="1">
      <c r="A2325" s="4" t="s">
        <v>71</v>
      </c>
      <c r="B2325" s="4" t="str">
        <f>"2020031224"</f>
        <v>2020031224</v>
      </c>
      <c r="C2325" s="5">
        <v>71.900000000000006</v>
      </c>
      <c r="D2325" s="6">
        <v>83</v>
      </c>
      <c r="E2325" s="7">
        <f t="shared" si="36"/>
        <v>154.9</v>
      </c>
      <c r="F2325" s="8"/>
    </row>
    <row r="2326" spans="1:6" ht="18" customHeight="1">
      <c r="A2326" s="4" t="s">
        <v>71</v>
      </c>
      <c r="B2326" s="4" t="str">
        <f>"2020031527"</f>
        <v>2020031527</v>
      </c>
      <c r="C2326" s="5">
        <v>80.8</v>
      </c>
      <c r="D2326" s="6">
        <v>73.5</v>
      </c>
      <c r="E2326" s="7">
        <f t="shared" si="36"/>
        <v>154.30000000000001</v>
      </c>
      <c r="F2326" s="8"/>
    </row>
    <row r="2327" spans="1:6" ht="18" customHeight="1">
      <c r="A2327" s="4" t="s">
        <v>71</v>
      </c>
      <c r="B2327" s="4" t="str">
        <f>"2020023518"</f>
        <v>2020023518</v>
      </c>
      <c r="C2327" s="5">
        <v>75.599999999999994</v>
      </c>
      <c r="D2327" s="6">
        <v>77.5</v>
      </c>
      <c r="E2327" s="7">
        <f t="shared" si="36"/>
        <v>153.1</v>
      </c>
      <c r="F2327" s="8"/>
    </row>
    <row r="2328" spans="1:6" ht="18" customHeight="1">
      <c r="A2328" s="4" t="s">
        <v>71</v>
      </c>
      <c r="B2328" s="4" t="str">
        <f>"2020033820"</f>
        <v>2020033820</v>
      </c>
      <c r="C2328" s="5">
        <v>75.099999999999994</v>
      </c>
      <c r="D2328" s="6">
        <v>76.5</v>
      </c>
      <c r="E2328" s="7">
        <f t="shared" si="36"/>
        <v>151.6</v>
      </c>
      <c r="F2328" s="8"/>
    </row>
    <row r="2329" spans="1:6" ht="18" customHeight="1">
      <c r="A2329" s="4" t="s">
        <v>71</v>
      </c>
      <c r="B2329" s="4" t="str">
        <f>"2020023719"</f>
        <v>2020023719</v>
      </c>
      <c r="C2329" s="5">
        <v>68</v>
      </c>
      <c r="D2329" s="6">
        <v>80.5</v>
      </c>
      <c r="E2329" s="7">
        <f t="shared" si="36"/>
        <v>148.5</v>
      </c>
      <c r="F2329" s="8"/>
    </row>
    <row r="2330" spans="1:6" ht="18" customHeight="1">
      <c r="A2330" s="4" t="s">
        <v>71</v>
      </c>
      <c r="B2330" s="4" t="str">
        <f>"2020014017"</f>
        <v>2020014017</v>
      </c>
      <c r="C2330" s="5">
        <v>69.900000000000006</v>
      </c>
      <c r="D2330" s="6">
        <v>77.5</v>
      </c>
      <c r="E2330" s="7">
        <f t="shared" si="36"/>
        <v>147.4</v>
      </c>
      <c r="F2330" s="8"/>
    </row>
    <row r="2331" spans="1:6" ht="18" customHeight="1">
      <c r="A2331" s="4" t="s">
        <v>71</v>
      </c>
      <c r="B2331" s="4" t="str">
        <f>"2020011301"</f>
        <v>2020011301</v>
      </c>
      <c r="C2331" s="5">
        <v>64.400000000000006</v>
      </c>
      <c r="D2331" s="6">
        <v>83</v>
      </c>
      <c r="E2331" s="7">
        <f t="shared" si="36"/>
        <v>147.4</v>
      </c>
      <c r="F2331" s="8"/>
    </row>
    <row r="2332" spans="1:6" ht="18" customHeight="1">
      <c r="A2332" s="4" t="s">
        <v>71</v>
      </c>
      <c r="B2332" s="4" t="str">
        <f>"2020012810"</f>
        <v>2020012810</v>
      </c>
      <c r="C2332" s="5">
        <v>65.099999999999994</v>
      </c>
      <c r="D2332" s="6">
        <v>81</v>
      </c>
      <c r="E2332" s="7">
        <f t="shared" si="36"/>
        <v>146.1</v>
      </c>
      <c r="F2332" s="8"/>
    </row>
    <row r="2333" spans="1:6" ht="18" customHeight="1">
      <c r="A2333" s="4" t="s">
        <v>71</v>
      </c>
      <c r="B2333" s="4" t="str">
        <f>"2020021215"</f>
        <v>2020021215</v>
      </c>
      <c r="C2333" s="5">
        <v>64.5</v>
      </c>
      <c r="D2333" s="6">
        <v>81</v>
      </c>
      <c r="E2333" s="7">
        <f t="shared" si="36"/>
        <v>145.5</v>
      </c>
      <c r="F2333" s="8"/>
    </row>
    <row r="2334" spans="1:6" ht="18" customHeight="1">
      <c r="A2334" s="4" t="s">
        <v>71</v>
      </c>
      <c r="B2334" s="4" t="str">
        <f>"2020044424"</f>
        <v>2020044424</v>
      </c>
      <c r="C2334" s="5">
        <v>74.3</v>
      </c>
      <c r="D2334" s="6">
        <v>71</v>
      </c>
      <c r="E2334" s="7">
        <f t="shared" si="36"/>
        <v>145.30000000000001</v>
      </c>
      <c r="F2334" s="8"/>
    </row>
    <row r="2335" spans="1:6" ht="18" customHeight="1">
      <c r="A2335" s="4" t="s">
        <v>71</v>
      </c>
      <c r="B2335" s="4" t="str">
        <f>"2020041030"</f>
        <v>2020041030</v>
      </c>
      <c r="C2335" s="5">
        <v>67.5</v>
      </c>
      <c r="D2335" s="6">
        <v>76</v>
      </c>
      <c r="E2335" s="7">
        <f t="shared" si="36"/>
        <v>143.5</v>
      </c>
      <c r="F2335" s="8"/>
    </row>
    <row r="2336" spans="1:6" ht="18" customHeight="1">
      <c r="A2336" s="4" t="s">
        <v>71</v>
      </c>
      <c r="B2336" s="4" t="str">
        <f>"2020011128"</f>
        <v>2020011128</v>
      </c>
      <c r="C2336" s="5">
        <v>68.099999999999994</v>
      </c>
      <c r="D2336" s="6">
        <v>73.5</v>
      </c>
      <c r="E2336" s="7">
        <f t="shared" si="36"/>
        <v>141.6</v>
      </c>
      <c r="F2336" s="8"/>
    </row>
    <row r="2337" spans="1:6" ht="18" customHeight="1">
      <c r="A2337" s="4" t="s">
        <v>71</v>
      </c>
      <c r="B2337" s="4" t="str">
        <f>"2020033302"</f>
        <v>2020033302</v>
      </c>
      <c r="C2337" s="5">
        <v>68.2</v>
      </c>
      <c r="D2337" s="6">
        <v>72.5</v>
      </c>
      <c r="E2337" s="7">
        <f t="shared" si="36"/>
        <v>140.69999999999999</v>
      </c>
      <c r="F2337" s="8"/>
    </row>
    <row r="2338" spans="1:6" ht="18" customHeight="1">
      <c r="A2338" s="4" t="s">
        <v>71</v>
      </c>
      <c r="B2338" s="4" t="str">
        <f>"2020033919"</f>
        <v>2020033919</v>
      </c>
      <c r="C2338" s="5">
        <v>68.599999999999994</v>
      </c>
      <c r="D2338" s="6">
        <v>72</v>
      </c>
      <c r="E2338" s="7">
        <f t="shared" si="36"/>
        <v>140.6</v>
      </c>
      <c r="F2338" s="8"/>
    </row>
    <row r="2339" spans="1:6" ht="18" customHeight="1">
      <c r="A2339" s="4" t="s">
        <v>71</v>
      </c>
      <c r="B2339" s="4" t="str">
        <f>"2020044528"</f>
        <v>2020044528</v>
      </c>
      <c r="C2339" s="5">
        <v>68.599999999999994</v>
      </c>
      <c r="D2339" s="6">
        <v>72</v>
      </c>
      <c r="E2339" s="7">
        <f t="shared" si="36"/>
        <v>140.6</v>
      </c>
      <c r="F2339" s="8"/>
    </row>
    <row r="2340" spans="1:6" ht="18" customHeight="1">
      <c r="A2340" s="4" t="s">
        <v>71</v>
      </c>
      <c r="B2340" s="4" t="str">
        <f>"2020024622"</f>
        <v>2020024622</v>
      </c>
      <c r="C2340" s="5">
        <v>64.2</v>
      </c>
      <c r="D2340" s="6">
        <v>76</v>
      </c>
      <c r="E2340" s="7">
        <f t="shared" si="36"/>
        <v>140.19999999999999</v>
      </c>
      <c r="F2340" s="8"/>
    </row>
    <row r="2341" spans="1:6" ht="18" customHeight="1">
      <c r="A2341" s="4" t="s">
        <v>71</v>
      </c>
      <c r="B2341" s="4" t="str">
        <f>"2020010630"</f>
        <v>2020010630</v>
      </c>
      <c r="C2341" s="5">
        <v>64.900000000000006</v>
      </c>
      <c r="D2341" s="6">
        <v>73.5</v>
      </c>
      <c r="E2341" s="7">
        <f t="shared" si="36"/>
        <v>138.4</v>
      </c>
      <c r="F2341" s="8"/>
    </row>
    <row r="2342" spans="1:6" ht="18" customHeight="1">
      <c r="A2342" s="4" t="s">
        <v>71</v>
      </c>
      <c r="B2342" s="4" t="str">
        <f>"2020046522"</f>
        <v>2020046522</v>
      </c>
      <c r="C2342" s="5">
        <v>70.099999999999994</v>
      </c>
      <c r="D2342" s="6">
        <v>67.5</v>
      </c>
      <c r="E2342" s="7">
        <f t="shared" si="36"/>
        <v>137.6</v>
      </c>
      <c r="F2342" s="8"/>
    </row>
    <row r="2343" spans="1:6" ht="18" customHeight="1">
      <c r="A2343" s="4" t="s">
        <v>71</v>
      </c>
      <c r="B2343" s="4" t="str">
        <f>"2020022426"</f>
        <v>2020022426</v>
      </c>
      <c r="C2343" s="5">
        <v>70.5</v>
      </c>
      <c r="D2343" s="6">
        <v>65.5</v>
      </c>
      <c r="E2343" s="7">
        <f t="shared" si="36"/>
        <v>136</v>
      </c>
      <c r="F2343" s="8"/>
    </row>
    <row r="2344" spans="1:6" ht="18" customHeight="1">
      <c r="A2344" s="4" t="s">
        <v>71</v>
      </c>
      <c r="B2344" s="4" t="str">
        <f>"2020030417"</f>
        <v>2020030417</v>
      </c>
      <c r="C2344" s="5">
        <v>62.9</v>
      </c>
      <c r="D2344" s="6">
        <v>72.5</v>
      </c>
      <c r="E2344" s="7">
        <f t="shared" si="36"/>
        <v>135.4</v>
      </c>
      <c r="F2344" s="8"/>
    </row>
    <row r="2345" spans="1:6" ht="18" customHeight="1">
      <c r="A2345" s="4" t="s">
        <v>71</v>
      </c>
      <c r="B2345" s="4" t="str">
        <f>"2020020610"</f>
        <v>2020020610</v>
      </c>
      <c r="C2345" s="5">
        <v>58.6</v>
      </c>
      <c r="D2345" s="6">
        <v>75</v>
      </c>
      <c r="E2345" s="7">
        <f t="shared" si="36"/>
        <v>133.6</v>
      </c>
      <c r="F2345" s="8"/>
    </row>
    <row r="2346" spans="1:6" ht="18" customHeight="1">
      <c r="A2346" s="4" t="s">
        <v>71</v>
      </c>
      <c r="B2346" s="4" t="str">
        <f>"2020031325"</f>
        <v>2020031325</v>
      </c>
      <c r="C2346" s="5">
        <v>76.7</v>
      </c>
      <c r="D2346" s="6">
        <v>53</v>
      </c>
      <c r="E2346" s="7">
        <f t="shared" si="36"/>
        <v>129.69999999999999</v>
      </c>
      <c r="F2346" s="8"/>
    </row>
    <row r="2347" spans="1:6" ht="18" customHeight="1">
      <c r="A2347" s="4" t="s">
        <v>71</v>
      </c>
      <c r="B2347" s="4" t="str">
        <f>"2020043910"</f>
        <v>2020043910</v>
      </c>
      <c r="C2347" s="5">
        <v>66.5</v>
      </c>
      <c r="D2347" s="6">
        <v>63</v>
      </c>
      <c r="E2347" s="7">
        <f t="shared" si="36"/>
        <v>129.5</v>
      </c>
      <c r="F2347" s="8"/>
    </row>
    <row r="2348" spans="1:6" ht="18" customHeight="1">
      <c r="A2348" s="4" t="s">
        <v>71</v>
      </c>
      <c r="B2348" s="4" t="str">
        <f>"2020047414"</f>
        <v>2020047414</v>
      </c>
      <c r="C2348" s="5">
        <v>72.7</v>
      </c>
      <c r="D2348" s="6">
        <v>56.5</v>
      </c>
      <c r="E2348" s="7">
        <f t="shared" si="36"/>
        <v>129.19999999999999</v>
      </c>
      <c r="F2348" s="8"/>
    </row>
    <row r="2349" spans="1:6" ht="18" customHeight="1">
      <c r="A2349" s="4" t="s">
        <v>71</v>
      </c>
      <c r="B2349" s="4" t="str">
        <f>"2020011413"</f>
        <v>2020011413</v>
      </c>
      <c r="C2349" s="5">
        <v>63.4</v>
      </c>
      <c r="D2349" s="6">
        <v>65</v>
      </c>
      <c r="E2349" s="7">
        <f t="shared" si="36"/>
        <v>128.4</v>
      </c>
      <c r="F2349" s="8"/>
    </row>
    <row r="2350" spans="1:6" ht="18" customHeight="1">
      <c r="A2350" s="4" t="s">
        <v>71</v>
      </c>
      <c r="B2350" s="4" t="str">
        <f>"2020045102"</f>
        <v>2020045102</v>
      </c>
      <c r="C2350" s="5">
        <v>70.7</v>
      </c>
      <c r="D2350" s="6">
        <v>56.5</v>
      </c>
      <c r="E2350" s="7">
        <f t="shared" si="36"/>
        <v>127.2</v>
      </c>
      <c r="F2350" s="8"/>
    </row>
    <row r="2351" spans="1:6" ht="18" customHeight="1">
      <c r="A2351" s="4" t="s">
        <v>71</v>
      </c>
      <c r="B2351" s="4" t="str">
        <f>"2020011426"</f>
        <v>2020011426</v>
      </c>
      <c r="C2351" s="5">
        <v>62</v>
      </c>
      <c r="D2351" s="6">
        <v>65</v>
      </c>
      <c r="E2351" s="7">
        <f t="shared" si="36"/>
        <v>127</v>
      </c>
      <c r="F2351" s="8"/>
    </row>
    <row r="2352" spans="1:6" ht="18" customHeight="1">
      <c r="A2352" s="4" t="s">
        <v>71</v>
      </c>
      <c r="B2352" s="4" t="str">
        <f>"2020041124"</f>
        <v>2020041124</v>
      </c>
      <c r="C2352" s="5">
        <v>64.2</v>
      </c>
      <c r="D2352" s="6">
        <v>60</v>
      </c>
      <c r="E2352" s="7">
        <f t="shared" si="36"/>
        <v>124.2</v>
      </c>
      <c r="F2352" s="8"/>
    </row>
    <row r="2353" spans="1:6" ht="18" customHeight="1">
      <c r="A2353" s="4" t="s">
        <v>71</v>
      </c>
      <c r="B2353" s="4" t="str">
        <f>"2020012807"</f>
        <v>2020012807</v>
      </c>
      <c r="C2353" s="5">
        <v>63.6</v>
      </c>
      <c r="D2353" s="6">
        <v>60</v>
      </c>
      <c r="E2353" s="7">
        <f t="shared" si="36"/>
        <v>123.6</v>
      </c>
      <c r="F2353" s="8"/>
    </row>
    <row r="2354" spans="1:6" ht="18" customHeight="1">
      <c r="A2354" s="4" t="s">
        <v>71</v>
      </c>
      <c r="B2354" s="4" t="str">
        <f>"2020047122"</f>
        <v>2020047122</v>
      </c>
      <c r="C2354" s="5">
        <v>60.3</v>
      </c>
      <c r="D2354" s="6">
        <v>62.5</v>
      </c>
      <c r="E2354" s="7">
        <f t="shared" si="36"/>
        <v>122.8</v>
      </c>
      <c r="F2354" s="8"/>
    </row>
    <row r="2355" spans="1:6" ht="18" customHeight="1">
      <c r="A2355" s="4" t="s">
        <v>71</v>
      </c>
      <c r="B2355" s="4" t="str">
        <f>"2020042209"</f>
        <v>2020042209</v>
      </c>
      <c r="C2355" s="5">
        <v>59.9</v>
      </c>
      <c r="D2355" s="6">
        <v>62</v>
      </c>
      <c r="E2355" s="7">
        <f t="shared" si="36"/>
        <v>121.9</v>
      </c>
      <c r="F2355" s="8"/>
    </row>
    <row r="2356" spans="1:6" ht="18" customHeight="1">
      <c r="A2356" s="4" t="s">
        <v>71</v>
      </c>
      <c r="B2356" s="4" t="str">
        <f>"2020010420"</f>
        <v>2020010420</v>
      </c>
      <c r="C2356" s="5">
        <v>53.9</v>
      </c>
      <c r="D2356" s="6">
        <v>62.5</v>
      </c>
      <c r="E2356" s="7">
        <f t="shared" si="36"/>
        <v>116.4</v>
      </c>
      <c r="F2356" s="8"/>
    </row>
    <row r="2357" spans="1:6" ht="18" customHeight="1">
      <c r="A2357" s="4" t="s">
        <v>71</v>
      </c>
      <c r="B2357" s="4" t="str">
        <f>"2020024724"</f>
        <v>2020024724</v>
      </c>
      <c r="C2357" s="5">
        <v>61.3</v>
      </c>
      <c r="D2357" s="6">
        <v>53</v>
      </c>
      <c r="E2357" s="7">
        <f t="shared" si="36"/>
        <v>114.3</v>
      </c>
      <c r="F2357" s="8"/>
    </row>
    <row r="2358" spans="1:6" ht="18" customHeight="1">
      <c r="A2358" s="4" t="s">
        <v>71</v>
      </c>
      <c r="B2358" s="4" t="str">
        <f>"2020013410"</f>
        <v>2020013410</v>
      </c>
      <c r="C2358" s="5">
        <v>57.6</v>
      </c>
      <c r="D2358" s="6">
        <v>55</v>
      </c>
      <c r="E2358" s="7">
        <f t="shared" si="36"/>
        <v>112.6</v>
      </c>
      <c r="F2358" s="8"/>
    </row>
    <row r="2359" spans="1:6" ht="18" customHeight="1">
      <c r="A2359" s="4" t="s">
        <v>71</v>
      </c>
      <c r="B2359" s="4" t="str">
        <f>"2020013523"</f>
        <v>2020013523</v>
      </c>
      <c r="C2359" s="5">
        <v>0</v>
      </c>
      <c r="D2359" s="6">
        <v>0</v>
      </c>
      <c r="E2359" s="7">
        <f t="shared" si="36"/>
        <v>0</v>
      </c>
      <c r="F2359" s="9" t="s">
        <v>8</v>
      </c>
    </row>
    <row r="2360" spans="1:6" ht="18" customHeight="1">
      <c r="A2360" s="4" t="s">
        <v>71</v>
      </c>
      <c r="B2360" s="4" t="str">
        <f>"2020023124"</f>
        <v>2020023124</v>
      </c>
      <c r="C2360" s="5">
        <v>0</v>
      </c>
      <c r="D2360" s="6">
        <v>0</v>
      </c>
      <c r="E2360" s="7">
        <f t="shared" si="36"/>
        <v>0</v>
      </c>
      <c r="F2360" s="8" t="s">
        <v>8</v>
      </c>
    </row>
    <row r="2361" spans="1:6" ht="18" customHeight="1">
      <c r="A2361" s="4" t="s">
        <v>71</v>
      </c>
      <c r="B2361" s="4" t="str">
        <f>"2020030618"</f>
        <v>2020030618</v>
      </c>
      <c r="C2361" s="5">
        <v>0</v>
      </c>
      <c r="D2361" s="6">
        <v>0</v>
      </c>
      <c r="E2361" s="7">
        <f t="shared" si="36"/>
        <v>0</v>
      </c>
      <c r="F2361" s="8" t="s">
        <v>8</v>
      </c>
    </row>
    <row r="2362" spans="1:6" ht="18" customHeight="1">
      <c r="A2362" s="4" t="s">
        <v>71</v>
      </c>
      <c r="B2362" s="4" t="str">
        <f>"2020032008"</f>
        <v>2020032008</v>
      </c>
      <c r="C2362" s="5">
        <v>0</v>
      </c>
      <c r="D2362" s="6">
        <v>0</v>
      </c>
      <c r="E2362" s="7">
        <f t="shared" si="36"/>
        <v>0</v>
      </c>
      <c r="F2362" s="8" t="s">
        <v>8</v>
      </c>
    </row>
    <row r="2363" spans="1:6" ht="18" customHeight="1">
      <c r="A2363" s="4" t="s">
        <v>71</v>
      </c>
      <c r="B2363" s="4" t="str">
        <f>"2020044024"</f>
        <v>2020044024</v>
      </c>
      <c r="C2363" s="5">
        <v>0</v>
      </c>
      <c r="D2363" s="6">
        <v>0</v>
      </c>
      <c r="E2363" s="7">
        <f t="shared" si="36"/>
        <v>0</v>
      </c>
      <c r="F2363" s="8" t="s">
        <v>8</v>
      </c>
    </row>
    <row r="2364" spans="1:6" ht="18" customHeight="1">
      <c r="A2364" s="4" t="s">
        <v>71</v>
      </c>
      <c r="B2364" s="4" t="str">
        <f>"2020044521"</f>
        <v>2020044521</v>
      </c>
      <c r="C2364" s="5">
        <v>0</v>
      </c>
      <c r="D2364" s="6">
        <v>0</v>
      </c>
      <c r="E2364" s="7">
        <f t="shared" si="36"/>
        <v>0</v>
      </c>
      <c r="F2364" s="8" t="s">
        <v>8</v>
      </c>
    </row>
    <row r="2365" spans="1:6" ht="18" customHeight="1">
      <c r="A2365" s="4" t="s">
        <v>71</v>
      </c>
      <c r="B2365" s="4" t="str">
        <f>"2020046613"</f>
        <v>2020046613</v>
      </c>
      <c r="C2365" s="5">
        <v>0</v>
      </c>
      <c r="D2365" s="6">
        <v>0</v>
      </c>
      <c r="E2365" s="7">
        <f t="shared" si="36"/>
        <v>0</v>
      </c>
      <c r="F2365" s="8" t="s">
        <v>8</v>
      </c>
    </row>
    <row r="2366" spans="1:6" ht="18" customHeight="1">
      <c r="A2366" s="4" t="s">
        <v>72</v>
      </c>
      <c r="B2366" s="4" t="str">
        <f>"2020041803"</f>
        <v>2020041803</v>
      </c>
      <c r="C2366" s="5">
        <v>74</v>
      </c>
      <c r="D2366" s="6">
        <v>77.5</v>
      </c>
      <c r="E2366" s="7">
        <f t="shared" si="36"/>
        <v>151.5</v>
      </c>
      <c r="F2366" s="8"/>
    </row>
    <row r="2367" spans="1:6" ht="18" customHeight="1">
      <c r="A2367" s="4" t="s">
        <v>72</v>
      </c>
      <c r="B2367" s="4" t="str">
        <f>"2020020607"</f>
        <v>2020020607</v>
      </c>
      <c r="C2367" s="5">
        <v>68</v>
      </c>
      <c r="D2367" s="6">
        <v>79</v>
      </c>
      <c r="E2367" s="7">
        <f t="shared" si="36"/>
        <v>147</v>
      </c>
      <c r="F2367" s="8"/>
    </row>
    <row r="2368" spans="1:6" ht="18" customHeight="1">
      <c r="A2368" s="4" t="s">
        <v>72</v>
      </c>
      <c r="B2368" s="4" t="str">
        <f>"2020020406"</f>
        <v>2020020406</v>
      </c>
      <c r="C2368" s="5">
        <v>66.400000000000006</v>
      </c>
      <c r="D2368" s="6">
        <v>80.5</v>
      </c>
      <c r="E2368" s="7">
        <f t="shared" si="36"/>
        <v>146.9</v>
      </c>
      <c r="F2368" s="8"/>
    </row>
    <row r="2369" spans="1:6" ht="18" customHeight="1">
      <c r="A2369" s="4" t="s">
        <v>72</v>
      </c>
      <c r="B2369" s="4" t="str">
        <f>"2020031403"</f>
        <v>2020031403</v>
      </c>
      <c r="C2369" s="5">
        <v>65.900000000000006</v>
      </c>
      <c r="D2369" s="6">
        <v>81</v>
      </c>
      <c r="E2369" s="7">
        <f t="shared" si="36"/>
        <v>146.9</v>
      </c>
      <c r="F2369" s="8"/>
    </row>
    <row r="2370" spans="1:6" ht="18" customHeight="1">
      <c r="A2370" s="4" t="s">
        <v>72</v>
      </c>
      <c r="B2370" s="4" t="str">
        <f>"2020013529"</f>
        <v>2020013529</v>
      </c>
      <c r="C2370" s="5">
        <v>71.8</v>
      </c>
      <c r="D2370" s="6">
        <v>70</v>
      </c>
      <c r="E2370" s="7">
        <f t="shared" si="36"/>
        <v>141.80000000000001</v>
      </c>
      <c r="F2370" s="8"/>
    </row>
    <row r="2371" spans="1:6" ht="18" customHeight="1">
      <c r="A2371" s="4" t="s">
        <v>72</v>
      </c>
      <c r="B2371" s="4" t="str">
        <f>"2020046225"</f>
        <v>2020046225</v>
      </c>
      <c r="C2371" s="5">
        <v>62.2</v>
      </c>
      <c r="D2371" s="6">
        <v>79</v>
      </c>
      <c r="E2371" s="7">
        <f t="shared" ref="E2371:E2434" si="37">SUM(C2371:D2371)</f>
        <v>141.19999999999999</v>
      </c>
      <c r="F2371" s="8"/>
    </row>
    <row r="2372" spans="1:6" ht="18" customHeight="1">
      <c r="A2372" s="4" t="s">
        <v>72</v>
      </c>
      <c r="B2372" s="4" t="str">
        <f>"2020031125"</f>
        <v>2020031125</v>
      </c>
      <c r="C2372" s="5">
        <v>65.599999999999994</v>
      </c>
      <c r="D2372" s="6">
        <v>75</v>
      </c>
      <c r="E2372" s="7">
        <f t="shared" si="37"/>
        <v>140.6</v>
      </c>
      <c r="F2372" s="8"/>
    </row>
    <row r="2373" spans="1:6" ht="18" customHeight="1">
      <c r="A2373" s="4" t="s">
        <v>72</v>
      </c>
      <c r="B2373" s="4" t="str">
        <f>"2020047211"</f>
        <v>2020047211</v>
      </c>
      <c r="C2373" s="5">
        <v>69.2</v>
      </c>
      <c r="D2373" s="6">
        <v>71</v>
      </c>
      <c r="E2373" s="7">
        <f t="shared" si="37"/>
        <v>140.19999999999999</v>
      </c>
      <c r="F2373" s="8"/>
    </row>
    <row r="2374" spans="1:6" ht="18" customHeight="1">
      <c r="A2374" s="4" t="s">
        <v>72</v>
      </c>
      <c r="B2374" s="4" t="str">
        <f>"2020045427"</f>
        <v>2020045427</v>
      </c>
      <c r="C2374" s="5">
        <v>63.6</v>
      </c>
      <c r="D2374" s="6">
        <v>72.5</v>
      </c>
      <c r="E2374" s="7">
        <f t="shared" si="37"/>
        <v>136.1</v>
      </c>
      <c r="F2374" s="8"/>
    </row>
    <row r="2375" spans="1:6" ht="18" customHeight="1">
      <c r="A2375" s="4" t="s">
        <v>72</v>
      </c>
      <c r="B2375" s="4" t="str">
        <f>"2020044302"</f>
        <v>2020044302</v>
      </c>
      <c r="C2375" s="5">
        <v>61.8</v>
      </c>
      <c r="D2375" s="6">
        <v>74</v>
      </c>
      <c r="E2375" s="7">
        <f t="shared" si="37"/>
        <v>135.80000000000001</v>
      </c>
      <c r="F2375" s="8"/>
    </row>
    <row r="2376" spans="1:6" ht="18" customHeight="1">
      <c r="A2376" s="4" t="s">
        <v>72</v>
      </c>
      <c r="B2376" s="4" t="str">
        <f>"2020031326"</f>
        <v>2020031326</v>
      </c>
      <c r="C2376" s="5">
        <v>64.400000000000006</v>
      </c>
      <c r="D2376" s="6">
        <v>71</v>
      </c>
      <c r="E2376" s="7">
        <f t="shared" si="37"/>
        <v>135.4</v>
      </c>
      <c r="F2376" s="8"/>
    </row>
    <row r="2377" spans="1:6" ht="18" customHeight="1">
      <c r="A2377" s="4" t="s">
        <v>72</v>
      </c>
      <c r="B2377" s="4" t="str">
        <f>"2020041728"</f>
        <v>2020041728</v>
      </c>
      <c r="C2377" s="5">
        <v>67.8</v>
      </c>
      <c r="D2377" s="6">
        <v>66.5</v>
      </c>
      <c r="E2377" s="7">
        <f t="shared" si="37"/>
        <v>134.30000000000001</v>
      </c>
      <c r="F2377" s="8"/>
    </row>
    <row r="2378" spans="1:6" ht="18" customHeight="1">
      <c r="A2378" s="4" t="s">
        <v>72</v>
      </c>
      <c r="B2378" s="4" t="str">
        <f>"2020045912"</f>
        <v>2020045912</v>
      </c>
      <c r="C2378" s="5">
        <v>72</v>
      </c>
      <c r="D2378" s="6">
        <v>58</v>
      </c>
      <c r="E2378" s="7">
        <f t="shared" si="37"/>
        <v>130</v>
      </c>
      <c r="F2378" s="8"/>
    </row>
    <row r="2379" spans="1:6" ht="18" customHeight="1">
      <c r="A2379" s="4" t="s">
        <v>72</v>
      </c>
      <c r="B2379" s="4" t="str">
        <f>"2020033430"</f>
        <v>2020033430</v>
      </c>
      <c r="C2379" s="5">
        <v>64.900000000000006</v>
      </c>
      <c r="D2379" s="6">
        <v>63.5</v>
      </c>
      <c r="E2379" s="7">
        <f t="shared" si="37"/>
        <v>128.4</v>
      </c>
      <c r="F2379" s="8"/>
    </row>
    <row r="2380" spans="1:6" ht="18" customHeight="1">
      <c r="A2380" s="4" t="s">
        <v>72</v>
      </c>
      <c r="B2380" s="4" t="str">
        <f>"2020032405"</f>
        <v>2020032405</v>
      </c>
      <c r="C2380" s="5">
        <v>60.9</v>
      </c>
      <c r="D2380" s="6">
        <v>66.5</v>
      </c>
      <c r="E2380" s="7">
        <f t="shared" si="37"/>
        <v>127.4</v>
      </c>
      <c r="F2380" s="8"/>
    </row>
    <row r="2381" spans="1:6" ht="18" customHeight="1">
      <c r="A2381" s="4" t="s">
        <v>72</v>
      </c>
      <c r="B2381" s="4" t="str">
        <f>"2020047128"</f>
        <v>2020047128</v>
      </c>
      <c r="C2381" s="5">
        <v>57.1</v>
      </c>
      <c r="D2381" s="6">
        <v>61.5</v>
      </c>
      <c r="E2381" s="7">
        <f t="shared" si="37"/>
        <v>118.6</v>
      </c>
      <c r="F2381" s="8"/>
    </row>
    <row r="2382" spans="1:6" ht="18" customHeight="1">
      <c r="A2382" s="4" t="s">
        <v>72</v>
      </c>
      <c r="B2382" s="4" t="str">
        <f>"2020023721"</f>
        <v>2020023721</v>
      </c>
      <c r="C2382" s="5">
        <v>0</v>
      </c>
      <c r="D2382" s="6">
        <v>0</v>
      </c>
      <c r="E2382" s="7">
        <f t="shared" si="37"/>
        <v>0</v>
      </c>
      <c r="F2382" s="8" t="s">
        <v>8</v>
      </c>
    </row>
    <row r="2383" spans="1:6" ht="18" customHeight="1">
      <c r="A2383" s="4" t="s">
        <v>73</v>
      </c>
      <c r="B2383" s="4" t="str">
        <f>"2020013122"</f>
        <v>2020013122</v>
      </c>
      <c r="C2383" s="5">
        <v>77.2</v>
      </c>
      <c r="D2383" s="6">
        <v>75</v>
      </c>
      <c r="E2383" s="7">
        <f t="shared" si="37"/>
        <v>152.19999999999999</v>
      </c>
      <c r="F2383" s="8"/>
    </row>
    <row r="2384" spans="1:6" ht="18" customHeight="1">
      <c r="A2384" s="4" t="s">
        <v>73</v>
      </c>
      <c r="B2384" s="4" t="str">
        <f>"2020031811"</f>
        <v>2020031811</v>
      </c>
      <c r="C2384" s="5">
        <v>64.900000000000006</v>
      </c>
      <c r="D2384" s="6">
        <v>82</v>
      </c>
      <c r="E2384" s="7">
        <f t="shared" si="37"/>
        <v>146.9</v>
      </c>
      <c r="F2384" s="8"/>
    </row>
    <row r="2385" spans="1:6" ht="18" customHeight="1">
      <c r="A2385" s="4" t="s">
        <v>73</v>
      </c>
      <c r="B2385" s="4" t="str">
        <f>"2020044720"</f>
        <v>2020044720</v>
      </c>
      <c r="C2385" s="5">
        <v>68.8</v>
      </c>
      <c r="D2385" s="6">
        <v>76.5</v>
      </c>
      <c r="E2385" s="7">
        <f t="shared" si="37"/>
        <v>145.30000000000001</v>
      </c>
      <c r="F2385" s="8" t="s">
        <v>13</v>
      </c>
    </row>
    <row r="2386" spans="1:6" ht="18" customHeight="1">
      <c r="A2386" s="4" t="s">
        <v>73</v>
      </c>
      <c r="B2386" s="4" t="str">
        <f>"2020041719"</f>
        <v>2020041719</v>
      </c>
      <c r="C2386" s="5">
        <v>73.5</v>
      </c>
      <c r="D2386" s="6">
        <v>70</v>
      </c>
      <c r="E2386" s="7">
        <f t="shared" si="37"/>
        <v>143.5</v>
      </c>
      <c r="F2386" s="8"/>
    </row>
    <row r="2387" spans="1:6" ht="18" customHeight="1">
      <c r="A2387" s="4" t="s">
        <v>73</v>
      </c>
      <c r="B2387" s="4" t="str">
        <f>"2020043321"</f>
        <v>2020043321</v>
      </c>
      <c r="C2387" s="5">
        <v>74.599999999999994</v>
      </c>
      <c r="D2387" s="6">
        <v>68.5</v>
      </c>
      <c r="E2387" s="7">
        <f t="shared" si="37"/>
        <v>143.1</v>
      </c>
      <c r="F2387" s="8"/>
    </row>
    <row r="2388" spans="1:6" ht="18" customHeight="1">
      <c r="A2388" s="4" t="s">
        <v>73</v>
      </c>
      <c r="B2388" s="4" t="str">
        <f>"2020011519"</f>
        <v>2020011519</v>
      </c>
      <c r="C2388" s="5">
        <v>78.400000000000006</v>
      </c>
      <c r="D2388" s="6">
        <v>63.5</v>
      </c>
      <c r="E2388" s="7">
        <f t="shared" si="37"/>
        <v>141.9</v>
      </c>
      <c r="F2388" s="8"/>
    </row>
    <row r="2389" spans="1:6" ht="18" customHeight="1">
      <c r="A2389" s="4" t="s">
        <v>73</v>
      </c>
      <c r="B2389" s="4" t="str">
        <f>"2020020909"</f>
        <v>2020020909</v>
      </c>
      <c r="C2389" s="5">
        <v>71.5</v>
      </c>
      <c r="D2389" s="6">
        <v>66.5</v>
      </c>
      <c r="E2389" s="7">
        <f t="shared" si="37"/>
        <v>138</v>
      </c>
      <c r="F2389" s="8"/>
    </row>
    <row r="2390" spans="1:6" ht="18" customHeight="1">
      <c r="A2390" s="4" t="s">
        <v>73</v>
      </c>
      <c r="B2390" s="4" t="str">
        <f>"2020031203"</f>
        <v>2020031203</v>
      </c>
      <c r="C2390" s="5">
        <v>67.400000000000006</v>
      </c>
      <c r="D2390" s="6">
        <v>69.5</v>
      </c>
      <c r="E2390" s="7">
        <f t="shared" si="37"/>
        <v>136.9</v>
      </c>
      <c r="F2390" s="8"/>
    </row>
    <row r="2391" spans="1:6" ht="18" customHeight="1">
      <c r="A2391" s="4" t="s">
        <v>73</v>
      </c>
      <c r="B2391" s="4" t="str">
        <f>"2020022710"</f>
        <v>2020022710</v>
      </c>
      <c r="C2391" s="5">
        <v>72.8</v>
      </c>
      <c r="D2391" s="6">
        <v>61.5</v>
      </c>
      <c r="E2391" s="7">
        <f t="shared" si="37"/>
        <v>134.30000000000001</v>
      </c>
      <c r="F2391" s="8"/>
    </row>
    <row r="2392" spans="1:6" ht="18" customHeight="1">
      <c r="A2392" s="4" t="s">
        <v>73</v>
      </c>
      <c r="B2392" s="4" t="str">
        <f>"2020010323"</f>
        <v>2020010323</v>
      </c>
      <c r="C2392" s="5">
        <v>67.5</v>
      </c>
      <c r="D2392" s="6">
        <v>65</v>
      </c>
      <c r="E2392" s="7">
        <f t="shared" si="37"/>
        <v>132.5</v>
      </c>
      <c r="F2392" s="8"/>
    </row>
    <row r="2393" spans="1:6" ht="18" customHeight="1">
      <c r="A2393" s="4" t="s">
        <v>73</v>
      </c>
      <c r="B2393" s="4" t="str">
        <f>"2020046915"</f>
        <v>2020046915</v>
      </c>
      <c r="C2393" s="5">
        <v>65.3</v>
      </c>
      <c r="D2393" s="6">
        <v>62</v>
      </c>
      <c r="E2393" s="7">
        <f t="shared" si="37"/>
        <v>127.3</v>
      </c>
      <c r="F2393" s="8"/>
    </row>
    <row r="2394" spans="1:6" ht="18" customHeight="1">
      <c r="A2394" s="4" t="s">
        <v>73</v>
      </c>
      <c r="B2394" s="4" t="str">
        <f>"2020031508"</f>
        <v>2020031508</v>
      </c>
      <c r="C2394" s="5">
        <v>62.6</v>
      </c>
      <c r="D2394" s="6">
        <v>64</v>
      </c>
      <c r="E2394" s="7">
        <f t="shared" si="37"/>
        <v>126.6</v>
      </c>
      <c r="F2394" s="8"/>
    </row>
    <row r="2395" spans="1:6" ht="18" customHeight="1">
      <c r="A2395" s="4" t="s">
        <v>73</v>
      </c>
      <c r="B2395" s="4" t="str">
        <f>"2020033311"</f>
        <v>2020033311</v>
      </c>
      <c r="C2395" s="5">
        <v>71.099999999999994</v>
      </c>
      <c r="D2395" s="6">
        <v>54.5</v>
      </c>
      <c r="E2395" s="7">
        <f t="shared" si="37"/>
        <v>125.6</v>
      </c>
      <c r="F2395" s="8"/>
    </row>
    <row r="2396" spans="1:6" ht="18" customHeight="1">
      <c r="A2396" s="4" t="s">
        <v>73</v>
      </c>
      <c r="B2396" s="4" t="str">
        <f>"2020010214"</f>
        <v>2020010214</v>
      </c>
      <c r="C2396" s="5">
        <v>53.4</v>
      </c>
      <c r="D2396" s="6">
        <v>71.5</v>
      </c>
      <c r="E2396" s="7">
        <f t="shared" si="37"/>
        <v>124.9</v>
      </c>
      <c r="F2396" s="8"/>
    </row>
    <row r="2397" spans="1:6" ht="18" customHeight="1">
      <c r="A2397" s="4" t="s">
        <v>73</v>
      </c>
      <c r="B2397" s="4" t="str">
        <f>"2020024729"</f>
        <v>2020024729</v>
      </c>
      <c r="C2397" s="5">
        <v>66.599999999999994</v>
      </c>
      <c r="D2397" s="6">
        <v>57.5</v>
      </c>
      <c r="E2397" s="7">
        <f t="shared" si="37"/>
        <v>124.1</v>
      </c>
      <c r="F2397" s="8"/>
    </row>
    <row r="2398" spans="1:6" ht="18" customHeight="1">
      <c r="A2398" s="4" t="s">
        <v>73</v>
      </c>
      <c r="B2398" s="4" t="str">
        <f>"2020040808"</f>
        <v>2020040808</v>
      </c>
      <c r="C2398" s="5">
        <v>62.9</v>
      </c>
      <c r="D2398" s="6">
        <v>56.5</v>
      </c>
      <c r="E2398" s="7">
        <f t="shared" si="37"/>
        <v>119.4</v>
      </c>
      <c r="F2398" s="9" t="s">
        <v>13</v>
      </c>
    </row>
    <row r="2399" spans="1:6" ht="18" customHeight="1">
      <c r="A2399" s="4" t="s">
        <v>73</v>
      </c>
      <c r="B2399" s="4" t="str">
        <f>"2020045218"</f>
        <v>2020045218</v>
      </c>
      <c r="C2399" s="5">
        <v>59.6</v>
      </c>
      <c r="D2399" s="6">
        <v>54.5</v>
      </c>
      <c r="E2399" s="7">
        <f t="shared" si="37"/>
        <v>114.1</v>
      </c>
      <c r="F2399" s="8"/>
    </row>
    <row r="2400" spans="1:6" ht="18" customHeight="1">
      <c r="A2400" s="4" t="s">
        <v>73</v>
      </c>
      <c r="B2400" s="4" t="str">
        <f>"2020011524"</f>
        <v>2020011524</v>
      </c>
      <c r="C2400" s="5">
        <v>52.5</v>
      </c>
      <c r="D2400" s="6">
        <v>38</v>
      </c>
      <c r="E2400" s="7">
        <f t="shared" si="37"/>
        <v>90.5</v>
      </c>
      <c r="F2400" s="8"/>
    </row>
    <row r="2401" spans="1:6" ht="18" customHeight="1">
      <c r="A2401" s="4" t="s">
        <v>73</v>
      </c>
      <c r="B2401" s="4" t="str">
        <f>"2020010801"</f>
        <v>2020010801</v>
      </c>
      <c r="C2401" s="5">
        <v>0</v>
      </c>
      <c r="D2401" s="6">
        <v>0</v>
      </c>
      <c r="E2401" s="7">
        <f t="shared" si="37"/>
        <v>0</v>
      </c>
      <c r="F2401" s="9" t="s">
        <v>8</v>
      </c>
    </row>
    <row r="2402" spans="1:6" ht="18" customHeight="1">
      <c r="A2402" s="4" t="s">
        <v>73</v>
      </c>
      <c r="B2402" s="4" t="str">
        <f>"2020020102"</f>
        <v>2020020102</v>
      </c>
      <c r="C2402" s="5">
        <v>0</v>
      </c>
      <c r="D2402" s="6">
        <v>0</v>
      </c>
      <c r="E2402" s="7">
        <f t="shared" si="37"/>
        <v>0</v>
      </c>
      <c r="F2402" s="8" t="s">
        <v>8</v>
      </c>
    </row>
    <row r="2403" spans="1:6" ht="18" customHeight="1">
      <c r="A2403" s="4" t="s">
        <v>73</v>
      </c>
      <c r="B2403" s="4" t="str">
        <f>"2020021626"</f>
        <v>2020021626</v>
      </c>
      <c r="C2403" s="5">
        <v>0</v>
      </c>
      <c r="D2403" s="6">
        <v>0</v>
      </c>
      <c r="E2403" s="7">
        <f t="shared" si="37"/>
        <v>0</v>
      </c>
      <c r="F2403" s="8" t="s">
        <v>8</v>
      </c>
    </row>
    <row r="2404" spans="1:6" ht="18" customHeight="1">
      <c r="A2404" s="4" t="s">
        <v>73</v>
      </c>
      <c r="B2404" s="4" t="str">
        <f>"2020022521"</f>
        <v>2020022521</v>
      </c>
      <c r="C2404" s="5">
        <v>0</v>
      </c>
      <c r="D2404" s="6">
        <v>0</v>
      </c>
      <c r="E2404" s="7">
        <f t="shared" si="37"/>
        <v>0</v>
      </c>
      <c r="F2404" s="8" t="s">
        <v>8</v>
      </c>
    </row>
    <row r="2405" spans="1:6" ht="18" customHeight="1">
      <c r="A2405" s="4" t="s">
        <v>73</v>
      </c>
      <c r="B2405" s="4" t="str">
        <f>"2020023125"</f>
        <v>2020023125</v>
      </c>
      <c r="C2405" s="5">
        <v>0</v>
      </c>
      <c r="D2405" s="6">
        <v>0</v>
      </c>
      <c r="E2405" s="7">
        <f t="shared" si="37"/>
        <v>0</v>
      </c>
      <c r="F2405" s="8" t="s">
        <v>8</v>
      </c>
    </row>
    <row r="2406" spans="1:6" ht="18" customHeight="1">
      <c r="A2406" s="4" t="s">
        <v>73</v>
      </c>
      <c r="B2406" s="4" t="str">
        <f>"2020024310"</f>
        <v>2020024310</v>
      </c>
      <c r="C2406" s="5">
        <v>0</v>
      </c>
      <c r="D2406" s="6">
        <v>0</v>
      </c>
      <c r="E2406" s="7">
        <f t="shared" si="37"/>
        <v>0</v>
      </c>
      <c r="F2406" s="8" t="s">
        <v>8</v>
      </c>
    </row>
    <row r="2407" spans="1:6" ht="18" customHeight="1">
      <c r="A2407" s="4" t="s">
        <v>73</v>
      </c>
      <c r="B2407" s="4" t="str">
        <f>"2020032713"</f>
        <v>2020032713</v>
      </c>
      <c r="C2407" s="5">
        <v>0</v>
      </c>
      <c r="D2407" s="6">
        <v>0</v>
      </c>
      <c r="E2407" s="7">
        <f t="shared" si="37"/>
        <v>0</v>
      </c>
      <c r="F2407" s="8" t="s">
        <v>8</v>
      </c>
    </row>
    <row r="2408" spans="1:6" ht="18" customHeight="1">
      <c r="A2408" s="4" t="s">
        <v>73</v>
      </c>
      <c r="B2408" s="4" t="str">
        <f>"2020040407"</f>
        <v>2020040407</v>
      </c>
      <c r="C2408" s="5">
        <v>0</v>
      </c>
      <c r="D2408" s="6">
        <v>0</v>
      </c>
      <c r="E2408" s="7">
        <f t="shared" si="37"/>
        <v>0</v>
      </c>
      <c r="F2408" s="8" t="s">
        <v>8</v>
      </c>
    </row>
    <row r="2409" spans="1:6" ht="18" customHeight="1">
      <c r="A2409" s="4" t="s">
        <v>73</v>
      </c>
      <c r="B2409" s="4" t="str">
        <f>"2020043413"</f>
        <v>2020043413</v>
      </c>
      <c r="C2409" s="5">
        <v>0</v>
      </c>
      <c r="D2409" s="6">
        <v>0</v>
      </c>
      <c r="E2409" s="7">
        <f t="shared" si="37"/>
        <v>0</v>
      </c>
      <c r="F2409" s="8" t="s">
        <v>8</v>
      </c>
    </row>
    <row r="2410" spans="1:6" ht="18" customHeight="1">
      <c r="A2410" s="4" t="s">
        <v>73</v>
      </c>
      <c r="B2410" s="4" t="str">
        <f>"2020045502"</f>
        <v>2020045502</v>
      </c>
      <c r="C2410" s="5">
        <v>0</v>
      </c>
      <c r="D2410" s="6">
        <v>0</v>
      </c>
      <c r="E2410" s="7">
        <f t="shared" si="37"/>
        <v>0</v>
      </c>
      <c r="F2410" s="8" t="s">
        <v>8</v>
      </c>
    </row>
    <row r="2411" spans="1:6" ht="18" customHeight="1">
      <c r="A2411" s="4" t="s">
        <v>74</v>
      </c>
      <c r="B2411" s="4" t="str">
        <f>"2020042304"</f>
        <v>2020042304</v>
      </c>
      <c r="C2411" s="5">
        <v>74.8</v>
      </c>
      <c r="D2411" s="6">
        <v>78.5</v>
      </c>
      <c r="E2411" s="7">
        <f t="shared" si="37"/>
        <v>153.30000000000001</v>
      </c>
      <c r="F2411" s="8"/>
    </row>
    <row r="2412" spans="1:6" ht="18" customHeight="1">
      <c r="A2412" s="4" t="s">
        <v>74</v>
      </c>
      <c r="B2412" s="4" t="str">
        <f>"2020011906"</f>
        <v>2020011906</v>
      </c>
      <c r="C2412" s="5">
        <v>70.3</v>
      </c>
      <c r="D2412" s="6">
        <v>77.5</v>
      </c>
      <c r="E2412" s="7">
        <f t="shared" si="37"/>
        <v>147.80000000000001</v>
      </c>
      <c r="F2412" s="8"/>
    </row>
    <row r="2413" spans="1:6" ht="18" customHeight="1">
      <c r="A2413" s="4" t="s">
        <v>74</v>
      </c>
      <c r="B2413" s="4" t="str">
        <f>"2020033028"</f>
        <v>2020033028</v>
      </c>
      <c r="C2413" s="5">
        <v>65.400000000000006</v>
      </c>
      <c r="D2413" s="6">
        <v>76</v>
      </c>
      <c r="E2413" s="7">
        <f t="shared" si="37"/>
        <v>141.4</v>
      </c>
      <c r="F2413" s="8"/>
    </row>
    <row r="2414" spans="1:6" ht="18" customHeight="1">
      <c r="A2414" s="4" t="s">
        <v>74</v>
      </c>
      <c r="B2414" s="4" t="str">
        <f>"2020012426"</f>
        <v>2020012426</v>
      </c>
      <c r="C2414" s="5">
        <v>72.2</v>
      </c>
      <c r="D2414" s="6">
        <v>67.5</v>
      </c>
      <c r="E2414" s="7">
        <f t="shared" si="37"/>
        <v>139.69999999999999</v>
      </c>
      <c r="F2414" s="8"/>
    </row>
    <row r="2415" spans="1:6" ht="18" customHeight="1">
      <c r="A2415" s="4" t="s">
        <v>74</v>
      </c>
      <c r="B2415" s="4" t="str">
        <f>"2020042912"</f>
        <v>2020042912</v>
      </c>
      <c r="C2415" s="5">
        <v>71.400000000000006</v>
      </c>
      <c r="D2415" s="6">
        <v>67</v>
      </c>
      <c r="E2415" s="7">
        <f t="shared" si="37"/>
        <v>138.4</v>
      </c>
      <c r="F2415" s="8"/>
    </row>
    <row r="2416" spans="1:6" ht="18" customHeight="1">
      <c r="A2416" s="4" t="s">
        <v>74</v>
      </c>
      <c r="B2416" s="4" t="str">
        <f>"2020042412"</f>
        <v>2020042412</v>
      </c>
      <c r="C2416" s="5">
        <v>67.7</v>
      </c>
      <c r="D2416" s="6">
        <v>66.5</v>
      </c>
      <c r="E2416" s="7">
        <f t="shared" si="37"/>
        <v>134.19999999999999</v>
      </c>
      <c r="F2416" s="8"/>
    </row>
    <row r="2417" spans="1:6" ht="18" customHeight="1">
      <c r="A2417" s="4" t="s">
        <v>74</v>
      </c>
      <c r="B2417" s="4" t="str">
        <f>"2020013420"</f>
        <v>2020013420</v>
      </c>
      <c r="C2417" s="5">
        <v>55.8</v>
      </c>
      <c r="D2417" s="6">
        <v>74</v>
      </c>
      <c r="E2417" s="7">
        <f t="shared" si="37"/>
        <v>129.80000000000001</v>
      </c>
      <c r="F2417" s="8"/>
    </row>
    <row r="2418" spans="1:6" ht="18" customHeight="1">
      <c r="A2418" s="4" t="s">
        <v>74</v>
      </c>
      <c r="B2418" s="4" t="str">
        <f>"2020040510"</f>
        <v>2020040510</v>
      </c>
      <c r="C2418" s="5">
        <v>59.7</v>
      </c>
      <c r="D2418" s="6">
        <v>68</v>
      </c>
      <c r="E2418" s="7">
        <f t="shared" si="37"/>
        <v>127.7</v>
      </c>
      <c r="F2418" s="8"/>
    </row>
    <row r="2419" spans="1:6" ht="18" customHeight="1">
      <c r="A2419" s="4" t="s">
        <v>74</v>
      </c>
      <c r="B2419" s="4" t="str">
        <f>"2020030701"</f>
        <v>2020030701</v>
      </c>
      <c r="C2419" s="5">
        <v>64.5</v>
      </c>
      <c r="D2419" s="6">
        <v>41</v>
      </c>
      <c r="E2419" s="7">
        <f t="shared" si="37"/>
        <v>105.5</v>
      </c>
      <c r="F2419" s="8"/>
    </row>
    <row r="2420" spans="1:6" ht="18" customHeight="1">
      <c r="A2420" s="4" t="s">
        <v>74</v>
      </c>
      <c r="B2420" s="4" t="str">
        <f>"2020010215"</f>
        <v>2020010215</v>
      </c>
      <c r="C2420" s="5">
        <v>0</v>
      </c>
      <c r="D2420" s="6">
        <v>0</v>
      </c>
      <c r="E2420" s="7">
        <f t="shared" si="37"/>
        <v>0</v>
      </c>
      <c r="F2420" s="9" t="s">
        <v>8</v>
      </c>
    </row>
    <row r="2421" spans="1:6" ht="18" customHeight="1">
      <c r="A2421" s="4" t="s">
        <v>74</v>
      </c>
      <c r="B2421" s="4" t="str">
        <f>"2020010811"</f>
        <v>2020010811</v>
      </c>
      <c r="C2421" s="5">
        <v>0</v>
      </c>
      <c r="D2421" s="6">
        <v>0</v>
      </c>
      <c r="E2421" s="7">
        <f t="shared" si="37"/>
        <v>0</v>
      </c>
      <c r="F2421" s="9" t="s">
        <v>8</v>
      </c>
    </row>
    <row r="2422" spans="1:6" ht="18" customHeight="1">
      <c r="A2422" s="4" t="s">
        <v>74</v>
      </c>
      <c r="B2422" s="4" t="str">
        <f>"2020021029"</f>
        <v>2020021029</v>
      </c>
      <c r="C2422" s="5">
        <v>0</v>
      </c>
      <c r="D2422" s="6">
        <v>0</v>
      </c>
      <c r="E2422" s="7">
        <f t="shared" si="37"/>
        <v>0</v>
      </c>
      <c r="F2422" s="8" t="s">
        <v>8</v>
      </c>
    </row>
    <row r="2423" spans="1:6" ht="18" customHeight="1">
      <c r="A2423" s="4" t="s">
        <v>74</v>
      </c>
      <c r="B2423" s="4" t="str">
        <f>"2020042308"</f>
        <v>2020042308</v>
      </c>
      <c r="C2423" s="5">
        <v>0</v>
      </c>
      <c r="D2423" s="6">
        <v>0</v>
      </c>
      <c r="E2423" s="7">
        <f t="shared" si="37"/>
        <v>0</v>
      </c>
      <c r="F2423" s="8" t="s">
        <v>8</v>
      </c>
    </row>
    <row r="2424" spans="1:6" ht="18" customHeight="1">
      <c r="A2424" s="4" t="s">
        <v>75</v>
      </c>
      <c r="B2424" s="4" t="str">
        <f>"2020044520"</f>
        <v>2020044520</v>
      </c>
      <c r="C2424" s="5">
        <v>74.3</v>
      </c>
      <c r="D2424" s="6">
        <v>85</v>
      </c>
      <c r="E2424" s="7">
        <f t="shared" si="37"/>
        <v>159.30000000000001</v>
      </c>
      <c r="F2424" s="8"/>
    </row>
    <row r="2425" spans="1:6" ht="18" customHeight="1">
      <c r="A2425" s="4" t="s">
        <v>75</v>
      </c>
      <c r="B2425" s="4" t="str">
        <f>"2020040415"</f>
        <v>2020040415</v>
      </c>
      <c r="C2425" s="5">
        <v>76.900000000000006</v>
      </c>
      <c r="D2425" s="6">
        <v>82</v>
      </c>
      <c r="E2425" s="7">
        <f t="shared" si="37"/>
        <v>158.9</v>
      </c>
      <c r="F2425" s="8"/>
    </row>
    <row r="2426" spans="1:6" ht="18" customHeight="1">
      <c r="A2426" s="4" t="s">
        <v>75</v>
      </c>
      <c r="B2426" s="4" t="str">
        <f>"2020044110"</f>
        <v>2020044110</v>
      </c>
      <c r="C2426" s="5">
        <v>74.400000000000006</v>
      </c>
      <c r="D2426" s="6">
        <v>81</v>
      </c>
      <c r="E2426" s="7">
        <f t="shared" si="37"/>
        <v>155.4</v>
      </c>
      <c r="F2426" s="8"/>
    </row>
    <row r="2427" spans="1:6" ht="18" customHeight="1">
      <c r="A2427" s="4" t="s">
        <v>75</v>
      </c>
      <c r="B2427" s="4" t="str">
        <f>"2020021704"</f>
        <v>2020021704</v>
      </c>
      <c r="C2427" s="5">
        <v>72.7</v>
      </c>
      <c r="D2427" s="6">
        <v>82.5</v>
      </c>
      <c r="E2427" s="7">
        <f t="shared" si="37"/>
        <v>155.19999999999999</v>
      </c>
      <c r="F2427" s="8"/>
    </row>
    <row r="2428" spans="1:6" ht="18" customHeight="1">
      <c r="A2428" s="4" t="s">
        <v>75</v>
      </c>
      <c r="B2428" s="4" t="str">
        <f>"2020022507"</f>
        <v>2020022507</v>
      </c>
      <c r="C2428" s="5">
        <v>72.900000000000006</v>
      </c>
      <c r="D2428" s="6">
        <v>81.5</v>
      </c>
      <c r="E2428" s="7">
        <f t="shared" si="37"/>
        <v>154.4</v>
      </c>
      <c r="F2428" s="8"/>
    </row>
    <row r="2429" spans="1:6" ht="18" customHeight="1">
      <c r="A2429" s="4" t="s">
        <v>75</v>
      </c>
      <c r="B2429" s="4" t="str">
        <f>"2020033607"</f>
        <v>2020033607</v>
      </c>
      <c r="C2429" s="5">
        <v>72.7</v>
      </c>
      <c r="D2429" s="6">
        <v>79</v>
      </c>
      <c r="E2429" s="7">
        <f t="shared" si="37"/>
        <v>151.69999999999999</v>
      </c>
      <c r="F2429" s="8"/>
    </row>
    <row r="2430" spans="1:6" ht="18" customHeight="1">
      <c r="A2430" s="4" t="s">
        <v>75</v>
      </c>
      <c r="B2430" s="4" t="str">
        <f>"2020040605"</f>
        <v>2020040605</v>
      </c>
      <c r="C2430" s="5">
        <v>67.400000000000006</v>
      </c>
      <c r="D2430" s="6">
        <v>84</v>
      </c>
      <c r="E2430" s="7">
        <f t="shared" si="37"/>
        <v>151.4</v>
      </c>
      <c r="F2430" s="8"/>
    </row>
    <row r="2431" spans="1:6" ht="18" customHeight="1">
      <c r="A2431" s="4" t="s">
        <v>75</v>
      </c>
      <c r="B2431" s="4" t="str">
        <f>"2020047606"</f>
        <v>2020047606</v>
      </c>
      <c r="C2431" s="5">
        <v>74.5</v>
      </c>
      <c r="D2431" s="6">
        <v>76</v>
      </c>
      <c r="E2431" s="7">
        <f t="shared" si="37"/>
        <v>150.5</v>
      </c>
      <c r="F2431" s="8"/>
    </row>
    <row r="2432" spans="1:6" ht="18" customHeight="1">
      <c r="A2432" s="4" t="s">
        <v>75</v>
      </c>
      <c r="B2432" s="4" t="str">
        <f>"2020022226"</f>
        <v>2020022226</v>
      </c>
      <c r="C2432" s="5">
        <v>72.5</v>
      </c>
      <c r="D2432" s="6">
        <v>77.5</v>
      </c>
      <c r="E2432" s="7">
        <f t="shared" si="37"/>
        <v>150</v>
      </c>
      <c r="F2432" s="8"/>
    </row>
    <row r="2433" spans="1:6" ht="18" customHeight="1">
      <c r="A2433" s="4" t="s">
        <v>75</v>
      </c>
      <c r="B2433" s="4" t="str">
        <f>"2020031506"</f>
        <v>2020031506</v>
      </c>
      <c r="C2433" s="5">
        <v>68.5</v>
      </c>
      <c r="D2433" s="6">
        <v>81.5</v>
      </c>
      <c r="E2433" s="7">
        <f t="shared" si="37"/>
        <v>150</v>
      </c>
      <c r="F2433" s="8"/>
    </row>
    <row r="2434" spans="1:6" ht="18" customHeight="1">
      <c r="A2434" s="4" t="s">
        <v>75</v>
      </c>
      <c r="B2434" s="4" t="str">
        <f>"2020045013"</f>
        <v>2020045013</v>
      </c>
      <c r="C2434" s="5">
        <v>76</v>
      </c>
      <c r="D2434" s="6">
        <v>73.5</v>
      </c>
      <c r="E2434" s="7">
        <f t="shared" si="37"/>
        <v>149.5</v>
      </c>
      <c r="F2434" s="8"/>
    </row>
    <row r="2435" spans="1:6" ht="18" customHeight="1">
      <c r="A2435" s="4" t="s">
        <v>75</v>
      </c>
      <c r="B2435" s="4" t="str">
        <f>"2020012624"</f>
        <v>2020012624</v>
      </c>
      <c r="C2435" s="5">
        <v>74.8</v>
      </c>
      <c r="D2435" s="6">
        <v>74.5</v>
      </c>
      <c r="E2435" s="7">
        <f t="shared" ref="E2435:E2498" si="38">SUM(C2435:D2435)</f>
        <v>149.30000000000001</v>
      </c>
      <c r="F2435" s="8"/>
    </row>
    <row r="2436" spans="1:6" ht="18" customHeight="1">
      <c r="A2436" s="4" t="s">
        <v>75</v>
      </c>
      <c r="B2436" s="4" t="str">
        <f>"2020011708"</f>
        <v>2020011708</v>
      </c>
      <c r="C2436" s="5">
        <v>70.7</v>
      </c>
      <c r="D2436" s="6">
        <v>78</v>
      </c>
      <c r="E2436" s="7">
        <f t="shared" si="38"/>
        <v>148.69999999999999</v>
      </c>
      <c r="F2436" s="8"/>
    </row>
    <row r="2437" spans="1:6" ht="18" customHeight="1">
      <c r="A2437" s="4" t="s">
        <v>75</v>
      </c>
      <c r="B2437" s="4" t="str">
        <f>"2020042321"</f>
        <v>2020042321</v>
      </c>
      <c r="C2437" s="5">
        <v>72.400000000000006</v>
      </c>
      <c r="D2437" s="6">
        <v>76</v>
      </c>
      <c r="E2437" s="7">
        <f t="shared" si="38"/>
        <v>148.4</v>
      </c>
      <c r="F2437" s="8"/>
    </row>
    <row r="2438" spans="1:6" ht="18" customHeight="1">
      <c r="A2438" s="4" t="s">
        <v>75</v>
      </c>
      <c r="B2438" s="4" t="str">
        <f>"2020010909"</f>
        <v>2020010909</v>
      </c>
      <c r="C2438" s="5">
        <v>69.3</v>
      </c>
      <c r="D2438" s="6">
        <v>78</v>
      </c>
      <c r="E2438" s="7">
        <f t="shared" si="38"/>
        <v>147.30000000000001</v>
      </c>
      <c r="F2438" s="8"/>
    </row>
    <row r="2439" spans="1:6" ht="18" customHeight="1">
      <c r="A2439" s="4" t="s">
        <v>75</v>
      </c>
      <c r="B2439" s="4" t="str">
        <f>"2020033226"</f>
        <v>2020033226</v>
      </c>
      <c r="C2439" s="5">
        <v>69</v>
      </c>
      <c r="D2439" s="6">
        <v>77.5</v>
      </c>
      <c r="E2439" s="7">
        <f t="shared" si="38"/>
        <v>146.5</v>
      </c>
      <c r="F2439" s="8"/>
    </row>
    <row r="2440" spans="1:6" ht="18" customHeight="1">
      <c r="A2440" s="4" t="s">
        <v>75</v>
      </c>
      <c r="B2440" s="4" t="str">
        <f>"2020040428"</f>
        <v>2020040428</v>
      </c>
      <c r="C2440" s="5">
        <v>79.5</v>
      </c>
      <c r="D2440" s="6">
        <v>66</v>
      </c>
      <c r="E2440" s="7">
        <f t="shared" si="38"/>
        <v>145.5</v>
      </c>
      <c r="F2440" s="8"/>
    </row>
    <row r="2441" spans="1:6" ht="18" customHeight="1">
      <c r="A2441" s="4" t="s">
        <v>75</v>
      </c>
      <c r="B2441" s="4" t="str">
        <f>"2020022918"</f>
        <v>2020022918</v>
      </c>
      <c r="C2441" s="5">
        <v>68.400000000000006</v>
      </c>
      <c r="D2441" s="6">
        <v>77</v>
      </c>
      <c r="E2441" s="7">
        <f t="shared" si="38"/>
        <v>145.4</v>
      </c>
      <c r="F2441" s="8"/>
    </row>
    <row r="2442" spans="1:6" ht="18" customHeight="1">
      <c r="A2442" s="4" t="s">
        <v>75</v>
      </c>
      <c r="B2442" s="4" t="str">
        <f>"2020020303"</f>
        <v>2020020303</v>
      </c>
      <c r="C2442" s="5">
        <v>71.400000000000006</v>
      </c>
      <c r="D2442" s="6">
        <v>73</v>
      </c>
      <c r="E2442" s="7">
        <f t="shared" si="38"/>
        <v>144.4</v>
      </c>
      <c r="F2442" s="8"/>
    </row>
    <row r="2443" spans="1:6" ht="18" customHeight="1">
      <c r="A2443" s="4" t="s">
        <v>75</v>
      </c>
      <c r="B2443" s="4" t="str">
        <f>"2020032009"</f>
        <v>2020032009</v>
      </c>
      <c r="C2443" s="5">
        <v>69</v>
      </c>
      <c r="D2443" s="6">
        <v>74.5</v>
      </c>
      <c r="E2443" s="7">
        <f t="shared" si="38"/>
        <v>143.5</v>
      </c>
      <c r="F2443" s="8"/>
    </row>
    <row r="2444" spans="1:6" ht="18" customHeight="1">
      <c r="A2444" s="4" t="s">
        <v>75</v>
      </c>
      <c r="B2444" s="4" t="str">
        <f>"2020023712"</f>
        <v>2020023712</v>
      </c>
      <c r="C2444" s="5">
        <v>73.3</v>
      </c>
      <c r="D2444" s="6">
        <v>70</v>
      </c>
      <c r="E2444" s="7">
        <f t="shared" si="38"/>
        <v>143.30000000000001</v>
      </c>
      <c r="F2444" s="8"/>
    </row>
    <row r="2445" spans="1:6" ht="18" customHeight="1">
      <c r="A2445" s="4" t="s">
        <v>75</v>
      </c>
      <c r="B2445" s="4" t="str">
        <f>"2020041816"</f>
        <v>2020041816</v>
      </c>
      <c r="C2445" s="5">
        <v>71.099999999999994</v>
      </c>
      <c r="D2445" s="6">
        <v>72</v>
      </c>
      <c r="E2445" s="7">
        <f t="shared" si="38"/>
        <v>143.1</v>
      </c>
      <c r="F2445" s="8"/>
    </row>
    <row r="2446" spans="1:6" ht="18" customHeight="1">
      <c r="A2446" s="4" t="s">
        <v>75</v>
      </c>
      <c r="B2446" s="4" t="str">
        <f>"2020020415"</f>
        <v>2020020415</v>
      </c>
      <c r="C2446" s="5">
        <v>71.599999999999994</v>
      </c>
      <c r="D2446" s="6">
        <v>71</v>
      </c>
      <c r="E2446" s="7">
        <f t="shared" si="38"/>
        <v>142.6</v>
      </c>
      <c r="F2446" s="8"/>
    </row>
    <row r="2447" spans="1:6" ht="18" customHeight="1">
      <c r="A2447" s="4" t="s">
        <v>75</v>
      </c>
      <c r="B2447" s="4" t="str">
        <f>"2020024307"</f>
        <v>2020024307</v>
      </c>
      <c r="C2447" s="5">
        <v>70.599999999999994</v>
      </c>
      <c r="D2447" s="6">
        <v>72</v>
      </c>
      <c r="E2447" s="7">
        <f t="shared" si="38"/>
        <v>142.6</v>
      </c>
      <c r="F2447" s="8"/>
    </row>
    <row r="2448" spans="1:6" ht="18" customHeight="1">
      <c r="A2448" s="4" t="s">
        <v>75</v>
      </c>
      <c r="B2448" s="4" t="str">
        <f>"2020012416"</f>
        <v>2020012416</v>
      </c>
      <c r="C2448" s="5">
        <v>65.900000000000006</v>
      </c>
      <c r="D2448" s="6">
        <v>76</v>
      </c>
      <c r="E2448" s="7">
        <f t="shared" si="38"/>
        <v>141.9</v>
      </c>
      <c r="F2448" s="8"/>
    </row>
    <row r="2449" spans="1:6" ht="18" customHeight="1">
      <c r="A2449" s="4" t="s">
        <v>75</v>
      </c>
      <c r="B2449" s="4" t="str">
        <f>"2020024304"</f>
        <v>2020024304</v>
      </c>
      <c r="C2449" s="5">
        <v>71.8</v>
      </c>
      <c r="D2449" s="6">
        <v>69.5</v>
      </c>
      <c r="E2449" s="7">
        <f t="shared" si="38"/>
        <v>141.30000000000001</v>
      </c>
      <c r="F2449" s="8"/>
    </row>
    <row r="2450" spans="1:6" ht="18" customHeight="1">
      <c r="A2450" s="4" t="s">
        <v>75</v>
      </c>
      <c r="B2450" s="4" t="str">
        <f>"2020011212"</f>
        <v>2020011212</v>
      </c>
      <c r="C2450" s="5">
        <v>69.7</v>
      </c>
      <c r="D2450" s="6">
        <v>71.5</v>
      </c>
      <c r="E2450" s="7">
        <f t="shared" si="38"/>
        <v>141.19999999999999</v>
      </c>
      <c r="F2450" s="8"/>
    </row>
    <row r="2451" spans="1:6" ht="18" customHeight="1">
      <c r="A2451" s="4" t="s">
        <v>75</v>
      </c>
      <c r="B2451" s="4" t="str">
        <f>"2020040815"</f>
        <v>2020040815</v>
      </c>
      <c r="C2451" s="5">
        <v>66.599999999999994</v>
      </c>
      <c r="D2451" s="6">
        <v>73.5</v>
      </c>
      <c r="E2451" s="7">
        <f t="shared" si="38"/>
        <v>140.1</v>
      </c>
      <c r="F2451" s="8"/>
    </row>
    <row r="2452" spans="1:6" ht="18" customHeight="1">
      <c r="A2452" s="4" t="s">
        <v>75</v>
      </c>
      <c r="B2452" s="4" t="str">
        <f>"2020010321"</f>
        <v>2020010321</v>
      </c>
      <c r="C2452" s="5">
        <v>66.8</v>
      </c>
      <c r="D2452" s="6">
        <v>73</v>
      </c>
      <c r="E2452" s="7">
        <f t="shared" si="38"/>
        <v>139.80000000000001</v>
      </c>
      <c r="F2452" s="8"/>
    </row>
    <row r="2453" spans="1:6" ht="18" customHeight="1">
      <c r="A2453" s="4" t="s">
        <v>75</v>
      </c>
      <c r="B2453" s="4" t="str">
        <f>"2020012622"</f>
        <v>2020012622</v>
      </c>
      <c r="C2453" s="5">
        <v>68.400000000000006</v>
      </c>
      <c r="D2453" s="6">
        <v>71</v>
      </c>
      <c r="E2453" s="7">
        <f t="shared" si="38"/>
        <v>139.4</v>
      </c>
      <c r="F2453" s="8"/>
    </row>
    <row r="2454" spans="1:6" ht="18" customHeight="1">
      <c r="A2454" s="4" t="s">
        <v>75</v>
      </c>
      <c r="B2454" s="4" t="str">
        <f>"2020012902"</f>
        <v>2020012902</v>
      </c>
      <c r="C2454" s="5">
        <v>66.3</v>
      </c>
      <c r="D2454" s="6">
        <v>73</v>
      </c>
      <c r="E2454" s="7">
        <f t="shared" si="38"/>
        <v>139.30000000000001</v>
      </c>
      <c r="F2454" s="8"/>
    </row>
    <row r="2455" spans="1:6" ht="18" customHeight="1">
      <c r="A2455" s="4" t="s">
        <v>75</v>
      </c>
      <c r="B2455" s="4" t="str">
        <f>"2020047218"</f>
        <v>2020047218</v>
      </c>
      <c r="C2455" s="5">
        <v>70.8</v>
      </c>
      <c r="D2455" s="6">
        <v>68</v>
      </c>
      <c r="E2455" s="7">
        <f t="shared" si="38"/>
        <v>138.80000000000001</v>
      </c>
      <c r="F2455" s="8"/>
    </row>
    <row r="2456" spans="1:6" ht="18" customHeight="1">
      <c r="A2456" s="4" t="s">
        <v>75</v>
      </c>
      <c r="B2456" s="4" t="str">
        <f>"2020012618"</f>
        <v>2020012618</v>
      </c>
      <c r="C2456" s="5">
        <v>68.599999999999994</v>
      </c>
      <c r="D2456" s="6">
        <v>69</v>
      </c>
      <c r="E2456" s="7">
        <f t="shared" si="38"/>
        <v>137.6</v>
      </c>
      <c r="F2456" s="8"/>
    </row>
    <row r="2457" spans="1:6" ht="18" customHeight="1">
      <c r="A2457" s="4" t="s">
        <v>75</v>
      </c>
      <c r="B2457" s="4" t="str">
        <f>"2020043930"</f>
        <v>2020043930</v>
      </c>
      <c r="C2457" s="5">
        <v>66.5</v>
      </c>
      <c r="D2457" s="6">
        <v>71</v>
      </c>
      <c r="E2457" s="7">
        <f t="shared" si="38"/>
        <v>137.5</v>
      </c>
      <c r="F2457" s="8"/>
    </row>
    <row r="2458" spans="1:6" ht="18" customHeight="1">
      <c r="A2458" s="4" t="s">
        <v>75</v>
      </c>
      <c r="B2458" s="4" t="str">
        <f>"2020044314"</f>
        <v>2020044314</v>
      </c>
      <c r="C2458" s="5">
        <v>64</v>
      </c>
      <c r="D2458" s="6">
        <v>72.5</v>
      </c>
      <c r="E2458" s="7">
        <f t="shared" si="38"/>
        <v>136.5</v>
      </c>
      <c r="F2458" s="8"/>
    </row>
    <row r="2459" spans="1:6" ht="18" customHeight="1">
      <c r="A2459" s="4" t="s">
        <v>75</v>
      </c>
      <c r="B2459" s="4" t="str">
        <f>"2020024317"</f>
        <v>2020024317</v>
      </c>
      <c r="C2459" s="5">
        <v>67.8</v>
      </c>
      <c r="D2459" s="6">
        <v>68.5</v>
      </c>
      <c r="E2459" s="7">
        <f t="shared" si="38"/>
        <v>136.30000000000001</v>
      </c>
      <c r="F2459" s="8"/>
    </row>
    <row r="2460" spans="1:6" ht="18" customHeight="1">
      <c r="A2460" s="4" t="s">
        <v>75</v>
      </c>
      <c r="B2460" s="4" t="str">
        <f>"2020033822"</f>
        <v>2020033822</v>
      </c>
      <c r="C2460" s="5">
        <v>76</v>
      </c>
      <c r="D2460" s="6">
        <v>60</v>
      </c>
      <c r="E2460" s="7">
        <f t="shared" si="38"/>
        <v>136</v>
      </c>
      <c r="F2460" s="8"/>
    </row>
    <row r="2461" spans="1:6" ht="18" customHeight="1">
      <c r="A2461" s="4" t="s">
        <v>75</v>
      </c>
      <c r="B2461" s="4" t="str">
        <f>"2020044617"</f>
        <v>2020044617</v>
      </c>
      <c r="C2461" s="5">
        <v>70.099999999999994</v>
      </c>
      <c r="D2461" s="6">
        <v>65.5</v>
      </c>
      <c r="E2461" s="7">
        <f t="shared" si="38"/>
        <v>135.6</v>
      </c>
      <c r="F2461" s="8"/>
    </row>
    <row r="2462" spans="1:6" ht="18" customHeight="1">
      <c r="A2462" s="4" t="s">
        <v>75</v>
      </c>
      <c r="B2462" s="4" t="str">
        <f>"2020046024"</f>
        <v>2020046024</v>
      </c>
      <c r="C2462" s="5">
        <v>64.8</v>
      </c>
      <c r="D2462" s="6">
        <v>70.5</v>
      </c>
      <c r="E2462" s="7">
        <f t="shared" si="38"/>
        <v>135.30000000000001</v>
      </c>
      <c r="F2462" s="8"/>
    </row>
    <row r="2463" spans="1:6" ht="18" customHeight="1">
      <c r="A2463" s="4" t="s">
        <v>75</v>
      </c>
      <c r="B2463" s="4" t="str">
        <f>"2020021610"</f>
        <v>2020021610</v>
      </c>
      <c r="C2463" s="5">
        <v>69.7</v>
      </c>
      <c r="D2463" s="6">
        <v>64.5</v>
      </c>
      <c r="E2463" s="7">
        <f t="shared" si="38"/>
        <v>134.19999999999999</v>
      </c>
      <c r="F2463" s="8"/>
    </row>
    <row r="2464" spans="1:6" ht="18" customHeight="1">
      <c r="A2464" s="4" t="s">
        <v>75</v>
      </c>
      <c r="B2464" s="4" t="str">
        <f>"2020044721"</f>
        <v>2020044721</v>
      </c>
      <c r="C2464" s="5">
        <v>72.400000000000006</v>
      </c>
      <c r="D2464" s="6">
        <v>61.5</v>
      </c>
      <c r="E2464" s="7">
        <f t="shared" si="38"/>
        <v>133.9</v>
      </c>
      <c r="F2464" s="8"/>
    </row>
    <row r="2465" spans="1:6" ht="18" customHeight="1">
      <c r="A2465" s="4" t="s">
        <v>75</v>
      </c>
      <c r="B2465" s="4" t="str">
        <f>"2020032414"</f>
        <v>2020032414</v>
      </c>
      <c r="C2465" s="5">
        <v>59.4</v>
      </c>
      <c r="D2465" s="6">
        <v>74.5</v>
      </c>
      <c r="E2465" s="7">
        <f t="shared" si="38"/>
        <v>133.9</v>
      </c>
      <c r="F2465" s="8"/>
    </row>
    <row r="2466" spans="1:6" ht="18" customHeight="1">
      <c r="A2466" s="4" t="s">
        <v>75</v>
      </c>
      <c r="B2466" s="4" t="str">
        <f>"2020020113"</f>
        <v>2020020113</v>
      </c>
      <c r="C2466" s="5">
        <v>56.5</v>
      </c>
      <c r="D2466" s="6">
        <v>77</v>
      </c>
      <c r="E2466" s="7">
        <f t="shared" si="38"/>
        <v>133.5</v>
      </c>
      <c r="F2466" s="8"/>
    </row>
    <row r="2467" spans="1:6" ht="18" customHeight="1">
      <c r="A2467" s="4" t="s">
        <v>75</v>
      </c>
      <c r="B2467" s="4" t="str">
        <f>"2020010807"</f>
        <v>2020010807</v>
      </c>
      <c r="C2467" s="5">
        <v>70.2</v>
      </c>
      <c r="D2467" s="6">
        <v>62.5</v>
      </c>
      <c r="E2467" s="7">
        <f t="shared" si="38"/>
        <v>132.69999999999999</v>
      </c>
      <c r="F2467" s="8"/>
    </row>
    <row r="2468" spans="1:6" ht="18" customHeight="1">
      <c r="A2468" s="4" t="s">
        <v>75</v>
      </c>
      <c r="B2468" s="4" t="str">
        <f>"2020011513"</f>
        <v>2020011513</v>
      </c>
      <c r="C2468" s="5">
        <v>63.8</v>
      </c>
      <c r="D2468" s="6">
        <v>68.5</v>
      </c>
      <c r="E2468" s="7">
        <f t="shared" si="38"/>
        <v>132.30000000000001</v>
      </c>
      <c r="F2468" s="8"/>
    </row>
    <row r="2469" spans="1:6" ht="18" customHeight="1">
      <c r="A2469" s="4" t="s">
        <v>75</v>
      </c>
      <c r="B2469" s="4" t="str">
        <f>"2020020404"</f>
        <v>2020020404</v>
      </c>
      <c r="C2469" s="5">
        <v>64.7</v>
      </c>
      <c r="D2469" s="6">
        <v>67.5</v>
      </c>
      <c r="E2469" s="7">
        <f t="shared" si="38"/>
        <v>132.19999999999999</v>
      </c>
      <c r="F2469" s="8"/>
    </row>
    <row r="2470" spans="1:6" ht="18" customHeight="1">
      <c r="A2470" s="4" t="s">
        <v>75</v>
      </c>
      <c r="B2470" s="4" t="str">
        <f>"2020024513"</f>
        <v>2020024513</v>
      </c>
      <c r="C2470" s="5">
        <v>64.2</v>
      </c>
      <c r="D2470" s="6">
        <v>67.5</v>
      </c>
      <c r="E2470" s="7">
        <f t="shared" si="38"/>
        <v>131.69999999999999</v>
      </c>
      <c r="F2470" s="8"/>
    </row>
    <row r="2471" spans="1:6" ht="18" customHeight="1">
      <c r="A2471" s="4" t="s">
        <v>75</v>
      </c>
      <c r="B2471" s="4" t="str">
        <f>"2020030108"</f>
        <v>2020030108</v>
      </c>
      <c r="C2471" s="5">
        <v>69.3</v>
      </c>
      <c r="D2471" s="6">
        <v>61.5</v>
      </c>
      <c r="E2471" s="7">
        <f t="shared" si="38"/>
        <v>130.80000000000001</v>
      </c>
      <c r="F2471" s="8"/>
    </row>
    <row r="2472" spans="1:6" ht="18" customHeight="1">
      <c r="A2472" s="4" t="s">
        <v>75</v>
      </c>
      <c r="B2472" s="4" t="str">
        <f>"2020042210"</f>
        <v>2020042210</v>
      </c>
      <c r="C2472" s="5">
        <v>70.8</v>
      </c>
      <c r="D2472" s="6">
        <v>59.5</v>
      </c>
      <c r="E2472" s="7">
        <f t="shared" si="38"/>
        <v>130.30000000000001</v>
      </c>
      <c r="F2472" s="8"/>
    </row>
    <row r="2473" spans="1:6" ht="18" customHeight="1">
      <c r="A2473" s="4" t="s">
        <v>75</v>
      </c>
      <c r="B2473" s="4" t="str">
        <f>"2020024628"</f>
        <v>2020024628</v>
      </c>
      <c r="C2473" s="5">
        <v>61.5</v>
      </c>
      <c r="D2473" s="6">
        <v>68.5</v>
      </c>
      <c r="E2473" s="7">
        <f t="shared" si="38"/>
        <v>130</v>
      </c>
      <c r="F2473" s="8"/>
    </row>
    <row r="2474" spans="1:6" ht="18" customHeight="1">
      <c r="A2474" s="4" t="s">
        <v>75</v>
      </c>
      <c r="B2474" s="4" t="str">
        <f>"2020030623"</f>
        <v>2020030623</v>
      </c>
      <c r="C2474" s="5">
        <v>61.5</v>
      </c>
      <c r="D2474" s="6">
        <v>68.5</v>
      </c>
      <c r="E2474" s="7">
        <f t="shared" si="38"/>
        <v>130</v>
      </c>
      <c r="F2474" s="8"/>
    </row>
    <row r="2475" spans="1:6" ht="18" customHeight="1">
      <c r="A2475" s="4" t="s">
        <v>75</v>
      </c>
      <c r="B2475" s="4" t="str">
        <f>"2020013113"</f>
        <v>2020013113</v>
      </c>
      <c r="C2475" s="5">
        <v>74.400000000000006</v>
      </c>
      <c r="D2475" s="6">
        <v>55</v>
      </c>
      <c r="E2475" s="7">
        <f t="shared" si="38"/>
        <v>129.4</v>
      </c>
      <c r="F2475" s="8"/>
    </row>
    <row r="2476" spans="1:6" ht="18" customHeight="1">
      <c r="A2476" s="4" t="s">
        <v>75</v>
      </c>
      <c r="B2476" s="4" t="str">
        <f>"2020030825"</f>
        <v>2020030825</v>
      </c>
      <c r="C2476" s="5">
        <v>63.3</v>
      </c>
      <c r="D2476" s="6">
        <v>66</v>
      </c>
      <c r="E2476" s="7">
        <f t="shared" si="38"/>
        <v>129.30000000000001</v>
      </c>
      <c r="F2476" s="8"/>
    </row>
    <row r="2477" spans="1:6" ht="18" customHeight="1">
      <c r="A2477" s="4" t="s">
        <v>75</v>
      </c>
      <c r="B2477" s="4" t="str">
        <f>"2020046102"</f>
        <v>2020046102</v>
      </c>
      <c r="C2477" s="5">
        <v>63.6</v>
      </c>
      <c r="D2477" s="6">
        <v>64.5</v>
      </c>
      <c r="E2477" s="7">
        <f t="shared" si="38"/>
        <v>128.1</v>
      </c>
      <c r="F2477" s="8"/>
    </row>
    <row r="2478" spans="1:6" ht="18" customHeight="1">
      <c r="A2478" s="4" t="s">
        <v>75</v>
      </c>
      <c r="B2478" s="4" t="str">
        <f>"2020040307"</f>
        <v>2020040307</v>
      </c>
      <c r="C2478" s="5">
        <v>62</v>
      </c>
      <c r="D2478" s="6">
        <v>65</v>
      </c>
      <c r="E2478" s="7">
        <f t="shared" si="38"/>
        <v>127</v>
      </c>
      <c r="F2478" s="8"/>
    </row>
    <row r="2479" spans="1:6" ht="18" customHeight="1">
      <c r="A2479" s="4" t="s">
        <v>75</v>
      </c>
      <c r="B2479" s="4" t="str">
        <f>"2020010322"</f>
        <v>2020010322</v>
      </c>
      <c r="C2479" s="5">
        <v>63.6</v>
      </c>
      <c r="D2479" s="6">
        <v>63</v>
      </c>
      <c r="E2479" s="7">
        <f t="shared" si="38"/>
        <v>126.6</v>
      </c>
      <c r="F2479" s="8"/>
    </row>
    <row r="2480" spans="1:6" ht="18" customHeight="1">
      <c r="A2480" s="4" t="s">
        <v>75</v>
      </c>
      <c r="B2480" s="4" t="str">
        <f>"2020041127"</f>
        <v>2020041127</v>
      </c>
      <c r="C2480" s="5">
        <v>65.900000000000006</v>
      </c>
      <c r="D2480" s="6">
        <v>60.5</v>
      </c>
      <c r="E2480" s="7">
        <f t="shared" si="38"/>
        <v>126.4</v>
      </c>
      <c r="F2480" s="8"/>
    </row>
    <row r="2481" spans="1:6" ht="18" customHeight="1">
      <c r="A2481" s="4" t="s">
        <v>75</v>
      </c>
      <c r="B2481" s="4" t="str">
        <f>"2020030320"</f>
        <v>2020030320</v>
      </c>
      <c r="C2481" s="5">
        <v>70.5</v>
      </c>
      <c r="D2481" s="6">
        <v>55.5</v>
      </c>
      <c r="E2481" s="7">
        <f t="shared" si="38"/>
        <v>126</v>
      </c>
      <c r="F2481" s="8"/>
    </row>
    <row r="2482" spans="1:6" ht="18" customHeight="1">
      <c r="A2482" s="4" t="s">
        <v>75</v>
      </c>
      <c r="B2482" s="4" t="str">
        <f>"2020021527"</f>
        <v>2020021527</v>
      </c>
      <c r="C2482" s="5">
        <v>61.9</v>
      </c>
      <c r="D2482" s="6">
        <v>64</v>
      </c>
      <c r="E2482" s="7">
        <f t="shared" si="38"/>
        <v>125.9</v>
      </c>
      <c r="F2482" s="8"/>
    </row>
    <row r="2483" spans="1:6" ht="18" customHeight="1">
      <c r="A2483" s="4" t="s">
        <v>75</v>
      </c>
      <c r="B2483" s="4" t="str">
        <f>"2020045313"</f>
        <v>2020045313</v>
      </c>
      <c r="C2483" s="5">
        <v>62.3</v>
      </c>
      <c r="D2483" s="6">
        <v>63</v>
      </c>
      <c r="E2483" s="7">
        <f t="shared" si="38"/>
        <v>125.3</v>
      </c>
      <c r="F2483" s="8"/>
    </row>
    <row r="2484" spans="1:6" ht="18" customHeight="1">
      <c r="A2484" s="4" t="s">
        <v>75</v>
      </c>
      <c r="B2484" s="4" t="str">
        <f>"2020030923"</f>
        <v>2020030923</v>
      </c>
      <c r="C2484" s="5">
        <v>59.8</v>
      </c>
      <c r="D2484" s="6">
        <v>65.5</v>
      </c>
      <c r="E2484" s="7">
        <f t="shared" si="38"/>
        <v>125.3</v>
      </c>
      <c r="F2484" s="8"/>
    </row>
    <row r="2485" spans="1:6" ht="18" customHeight="1">
      <c r="A2485" s="4" t="s">
        <v>75</v>
      </c>
      <c r="B2485" s="4" t="str">
        <f>"2020031927"</f>
        <v>2020031927</v>
      </c>
      <c r="C2485" s="5">
        <v>62.3</v>
      </c>
      <c r="D2485" s="6">
        <v>62.5</v>
      </c>
      <c r="E2485" s="7">
        <f t="shared" si="38"/>
        <v>124.8</v>
      </c>
      <c r="F2485" s="8"/>
    </row>
    <row r="2486" spans="1:6" ht="18" customHeight="1">
      <c r="A2486" s="4" t="s">
        <v>75</v>
      </c>
      <c r="B2486" s="4" t="str">
        <f>"2020030203"</f>
        <v>2020030203</v>
      </c>
      <c r="C2486" s="5">
        <v>62</v>
      </c>
      <c r="D2486" s="6">
        <v>62.5</v>
      </c>
      <c r="E2486" s="7">
        <f t="shared" si="38"/>
        <v>124.5</v>
      </c>
      <c r="F2486" s="8"/>
    </row>
    <row r="2487" spans="1:6" ht="18" customHeight="1">
      <c r="A2487" s="4" t="s">
        <v>75</v>
      </c>
      <c r="B2487" s="4" t="str">
        <f>"2020030229"</f>
        <v>2020030229</v>
      </c>
      <c r="C2487" s="5">
        <v>67.099999999999994</v>
      </c>
      <c r="D2487" s="6">
        <v>57</v>
      </c>
      <c r="E2487" s="7">
        <f t="shared" si="38"/>
        <v>124.1</v>
      </c>
      <c r="F2487" s="8"/>
    </row>
    <row r="2488" spans="1:6" ht="18" customHeight="1">
      <c r="A2488" s="4" t="s">
        <v>75</v>
      </c>
      <c r="B2488" s="4" t="str">
        <f>"2020042920"</f>
        <v>2020042920</v>
      </c>
      <c r="C2488" s="5">
        <v>66.5</v>
      </c>
      <c r="D2488" s="6">
        <v>56.5</v>
      </c>
      <c r="E2488" s="7">
        <f t="shared" si="38"/>
        <v>123</v>
      </c>
      <c r="F2488" s="8"/>
    </row>
    <row r="2489" spans="1:6" ht="18" customHeight="1">
      <c r="A2489" s="4" t="s">
        <v>75</v>
      </c>
      <c r="B2489" s="4" t="str">
        <f>"2020022701"</f>
        <v>2020022701</v>
      </c>
      <c r="C2489" s="5">
        <v>63.9</v>
      </c>
      <c r="D2489" s="6">
        <v>59</v>
      </c>
      <c r="E2489" s="7">
        <f t="shared" si="38"/>
        <v>122.9</v>
      </c>
      <c r="F2489" s="8"/>
    </row>
    <row r="2490" spans="1:6" ht="18" customHeight="1">
      <c r="A2490" s="4" t="s">
        <v>75</v>
      </c>
      <c r="B2490" s="4" t="str">
        <f>"2020046307"</f>
        <v>2020046307</v>
      </c>
      <c r="C2490" s="5">
        <v>59.5</v>
      </c>
      <c r="D2490" s="6">
        <v>62.5</v>
      </c>
      <c r="E2490" s="7">
        <f t="shared" si="38"/>
        <v>122</v>
      </c>
      <c r="F2490" s="8"/>
    </row>
    <row r="2491" spans="1:6" ht="18" customHeight="1">
      <c r="A2491" s="4" t="s">
        <v>75</v>
      </c>
      <c r="B2491" s="4" t="str">
        <f>"2020020701"</f>
        <v>2020020701</v>
      </c>
      <c r="C2491" s="5">
        <v>59.3</v>
      </c>
      <c r="D2491" s="6">
        <v>62</v>
      </c>
      <c r="E2491" s="7">
        <f t="shared" si="38"/>
        <v>121.3</v>
      </c>
      <c r="F2491" s="8"/>
    </row>
    <row r="2492" spans="1:6" ht="18" customHeight="1">
      <c r="A2492" s="4" t="s">
        <v>75</v>
      </c>
      <c r="B2492" s="4" t="str">
        <f>"2020044210"</f>
        <v>2020044210</v>
      </c>
      <c r="C2492" s="5">
        <v>65.7</v>
      </c>
      <c r="D2492" s="6">
        <v>55</v>
      </c>
      <c r="E2492" s="7">
        <f t="shared" si="38"/>
        <v>120.7</v>
      </c>
      <c r="F2492" s="8"/>
    </row>
    <row r="2493" spans="1:6" ht="18" customHeight="1">
      <c r="A2493" s="4" t="s">
        <v>75</v>
      </c>
      <c r="B2493" s="4" t="str">
        <f>"2020030102"</f>
        <v>2020030102</v>
      </c>
      <c r="C2493" s="5">
        <v>61.4</v>
      </c>
      <c r="D2493" s="6">
        <v>57</v>
      </c>
      <c r="E2493" s="7">
        <f t="shared" si="38"/>
        <v>118.4</v>
      </c>
      <c r="F2493" s="8"/>
    </row>
    <row r="2494" spans="1:6" ht="18" customHeight="1">
      <c r="A2494" s="4" t="s">
        <v>75</v>
      </c>
      <c r="B2494" s="4" t="str">
        <f>"2020047118"</f>
        <v>2020047118</v>
      </c>
      <c r="C2494" s="5">
        <v>57.9</v>
      </c>
      <c r="D2494" s="6">
        <v>60</v>
      </c>
      <c r="E2494" s="7">
        <f t="shared" si="38"/>
        <v>117.9</v>
      </c>
      <c r="F2494" s="8"/>
    </row>
    <row r="2495" spans="1:6" ht="18" customHeight="1">
      <c r="A2495" s="4" t="s">
        <v>75</v>
      </c>
      <c r="B2495" s="4" t="str">
        <f>"2020024705"</f>
        <v>2020024705</v>
      </c>
      <c r="C2495" s="5">
        <v>58.3</v>
      </c>
      <c r="D2495" s="6">
        <v>59.5</v>
      </c>
      <c r="E2495" s="7">
        <f t="shared" si="38"/>
        <v>117.8</v>
      </c>
      <c r="F2495" s="8"/>
    </row>
    <row r="2496" spans="1:6" ht="18" customHeight="1">
      <c r="A2496" s="4" t="s">
        <v>75</v>
      </c>
      <c r="B2496" s="4" t="str">
        <f>"2020032301"</f>
        <v>2020032301</v>
      </c>
      <c r="C2496" s="5">
        <v>65.900000000000006</v>
      </c>
      <c r="D2496" s="6">
        <v>49.5</v>
      </c>
      <c r="E2496" s="7">
        <f t="shared" si="38"/>
        <v>115.4</v>
      </c>
      <c r="F2496" s="8"/>
    </row>
    <row r="2497" spans="1:6" ht="18" customHeight="1">
      <c r="A2497" s="4" t="s">
        <v>75</v>
      </c>
      <c r="B2497" s="4" t="str">
        <f>"2020033327"</f>
        <v>2020033327</v>
      </c>
      <c r="C2497" s="5">
        <v>61.1</v>
      </c>
      <c r="D2497" s="6">
        <v>54</v>
      </c>
      <c r="E2497" s="7">
        <f t="shared" si="38"/>
        <v>115.1</v>
      </c>
      <c r="F2497" s="8"/>
    </row>
    <row r="2498" spans="1:6" ht="18" customHeight="1">
      <c r="A2498" s="4" t="s">
        <v>75</v>
      </c>
      <c r="B2498" s="4" t="str">
        <f>"2020041507"</f>
        <v>2020041507</v>
      </c>
      <c r="C2498" s="5">
        <v>53.9</v>
      </c>
      <c r="D2498" s="6">
        <v>60.5</v>
      </c>
      <c r="E2498" s="7">
        <f t="shared" si="38"/>
        <v>114.4</v>
      </c>
      <c r="F2498" s="8"/>
    </row>
    <row r="2499" spans="1:6" ht="18" customHeight="1">
      <c r="A2499" s="4" t="s">
        <v>75</v>
      </c>
      <c r="B2499" s="4" t="str">
        <f>"2020023420"</f>
        <v>2020023420</v>
      </c>
      <c r="C2499" s="5">
        <v>57.8</v>
      </c>
      <c r="D2499" s="6">
        <v>56</v>
      </c>
      <c r="E2499" s="7">
        <f t="shared" ref="E2499:E2562" si="39">SUM(C2499:D2499)</f>
        <v>113.8</v>
      </c>
      <c r="F2499" s="8"/>
    </row>
    <row r="2500" spans="1:6" ht="18" customHeight="1">
      <c r="A2500" s="4" t="s">
        <v>75</v>
      </c>
      <c r="B2500" s="4" t="str">
        <f>"2020042818"</f>
        <v>2020042818</v>
      </c>
      <c r="C2500" s="5">
        <v>63.3</v>
      </c>
      <c r="D2500" s="6">
        <v>49.5</v>
      </c>
      <c r="E2500" s="7">
        <f t="shared" si="39"/>
        <v>112.8</v>
      </c>
      <c r="F2500" s="8"/>
    </row>
    <row r="2501" spans="1:6" ht="18" customHeight="1">
      <c r="A2501" s="4" t="s">
        <v>75</v>
      </c>
      <c r="B2501" s="4" t="str">
        <f>"2020020203"</f>
        <v>2020020203</v>
      </c>
      <c r="C2501" s="5">
        <v>53.2</v>
      </c>
      <c r="D2501" s="6">
        <v>59.5</v>
      </c>
      <c r="E2501" s="7">
        <f t="shared" si="39"/>
        <v>112.7</v>
      </c>
      <c r="F2501" s="8"/>
    </row>
    <row r="2502" spans="1:6" ht="18" customHeight="1">
      <c r="A2502" s="4" t="s">
        <v>75</v>
      </c>
      <c r="B2502" s="4" t="str">
        <f>"2020041705"</f>
        <v>2020041705</v>
      </c>
      <c r="C2502" s="5">
        <v>56</v>
      </c>
      <c r="D2502" s="6">
        <v>56.5</v>
      </c>
      <c r="E2502" s="7">
        <f t="shared" si="39"/>
        <v>112.5</v>
      </c>
      <c r="F2502" s="8"/>
    </row>
    <row r="2503" spans="1:6" ht="18" customHeight="1">
      <c r="A2503" s="4" t="s">
        <v>75</v>
      </c>
      <c r="B2503" s="4" t="str">
        <f>"2020024502"</f>
        <v>2020024502</v>
      </c>
      <c r="C2503" s="5">
        <v>62</v>
      </c>
      <c r="D2503" s="6">
        <v>50</v>
      </c>
      <c r="E2503" s="7">
        <f t="shared" si="39"/>
        <v>112</v>
      </c>
      <c r="F2503" s="8"/>
    </row>
    <row r="2504" spans="1:6" ht="18" customHeight="1">
      <c r="A2504" s="4" t="s">
        <v>75</v>
      </c>
      <c r="B2504" s="4" t="str">
        <f>"2020010621"</f>
        <v>2020010621</v>
      </c>
      <c r="C2504" s="5">
        <v>0</v>
      </c>
      <c r="D2504" s="6">
        <v>0</v>
      </c>
      <c r="E2504" s="7">
        <f t="shared" si="39"/>
        <v>0</v>
      </c>
      <c r="F2504" s="9" t="s">
        <v>8</v>
      </c>
    </row>
    <row r="2505" spans="1:6" ht="18" customHeight="1">
      <c r="A2505" s="4" t="s">
        <v>75</v>
      </c>
      <c r="B2505" s="4" t="str">
        <f>"2020011421"</f>
        <v>2020011421</v>
      </c>
      <c r="C2505" s="5">
        <v>0</v>
      </c>
      <c r="D2505" s="6">
        <v>0</v>
      </c>
      <c r="E2505" s="7">
        <f t="shared" si="39"/>
        <v>0</v>
      </c>
      <c r="F2505" s="9" t="s">
        <v>8</v>
      </c>
    </row>
    <row r="2506" spans="1:6" ht="18" customHeight="1">
      <c r="A2506" s="4" t="s">
        <v>75</v>
      </c>
      <c r="B2506" s="4" t="str">
        <f>"2020014013"</f>
        <v>2020014013</v>
      </c>
      <c r="C2506" s="5">
        <v>0</v>
      </c>
      <c r="D2506" s="6">
        <v>0</v>
      </c>
      <c r="E2506" s="7">
        <f t="shared" si="39"/>
        <v>0</v>
      </c>
      <c r="F2506" s="9" t="s">
        <v>8</v>
      </c>
    </row>
    <row r="2507" spans="1:6" ht="18" customHeight="1">
      <c r="A2507" s="4" t="s">
        <v>75</v>
      </c>
      <c r="B2507" s="4" t="str">
        <f>"2020020526"</f>
        <v>2020020526</v>
      </c>
      <c r="C2507" s="5">
        <v>0</v>
      </c>
      <c r="D2507" s="6">
        <v>0</v>
      </c>
      <c r="E2507" s="7">
        <f t="shared" si="39"/>
        <v>0</v>
      </c>
      <c r="F2507" s="8" t="s">
        <v>8</v>
      </c>
    </row>
    <row r="2508" spans="1:6" ht="18" customHeight="1">
      <c r="A2508" s="4" t="s">
        <v>75</v>
      </c>
      <c r="B2508" s="4" t="str">
        <f>"2020023022"</f>
        <v>2020023022</v>
      </c>
      <c r="C2508" s="5">
        <v>0</v>
      </c>
      <c r="D2508" s="6">
        <v>0</v>
      </c>
      <c r="E2508" s="7">
        <f t="shared" si="39"/>
        <v>0</v>
      </c>
      <c r="F2508" s="8" t="s">
        <v>8</v>
      </c>
    </row>
    <row r="2509" spans="1:6" ht="18" customHeight="1">
      <c r="A2509" s="4" t="s">
        <v>75</v>
      </c>
      <c r="B2509" s="4" t="str">
        <f>"2020030125"</f>
        <v>2020030125</v>
      </c>
      <c r="C2509" s="5">
        <v>0</v>
      </c>
      <c r="D2509" s="6">
        <v>0</v>
      </c>
      <c r="E2509" s="7">
        <f t="shared" si="39"/>
        <v>0</v>
      </c>
      <c r="F2509" s="8" t="s">
        <v>8</v>
      </c>
    </row>
    <row r="2510" spans="1:6" ht="18" customHeight="1">
      <c r="A2510" s="4" t="s">
        <v>75</v>
      </c>
      <c r="B2510" s="4" t="str">
        <f>"2020030603"</f>
        <v>2020030603</v>
      </c>
      <c r="C2510" s="5">
        <v>0</v>
      </c>
      <c r="D2510" s="6">
        <v>0</v>
      </c>
      <c r="E2510" s="7">
        <f t="shared" si="39"/>
        <v>0</v>
      </c>
      <c r="F2510" s="8" t="s">
        <v>8</v>
      </c>
    </row>
    <row r="2511" spans="1:6" ht="18" customHeight="1">
      <c r="A2511" s="4" t="s">
        <v>75</v>
      </c>
      <c r="B2511" s="4" t="str">
        <f>"2020031615"</f>
        <v>2020031615</v>
      </c>
      <c r="C2511" s="5">
        <v>0</v>
      </c>
      <c r="D2511" s="6">
        <v>0</v>
      </c>
      <c r="E2511" s="7">
        <f t="shared" si="39"/>
        <v>0</v>
      </c>
      <c r="F2511" s="8" t="s">
        <v>8</v>
      </c>
    </row>
    <row r="2512" spans="1:6" ht="18" customHeight="1">
      <c r="A2512" s="4" t="s">
        <v>75</v>
      </c>
      <c r="B2512" s="4" t="str">
        <f>"2020031616"</f>
        <v>2020031616</v>
      </c>
      <c r="C2512" s="5">
        <v>0</v>
      </c>
      <c r="D2512" s="6">
        <v>0</v>
      </c>
      <c r="E2512" s="7">
        <f t="shared" si="39"/>
        <v>0</v>
      </c>
      <c r="F2512" s="8" t="s">
        <v>8</v>
      </c>
    </row>
    <row r="2513" spans="1:6" ht="18" customHeight="1">
      <c r="A2513" s="4" t="s">
        <v>75</v>
      </c>
      <c r="B2513" s="4" t="str">
        <f>"2020032420"</f>
        <v>2020032420</v>
      </c>
      <c r="C2513" s="5">
        <v>0</v>
      </c>
      <c r="D2513" s="6">
        <v>0</v>
      </c>
      <c r="E2513" s="7">
        <f t="shared" si="39"/>
        <v>0</v>
      </c>
      <c r="F2513" s="8" t="s">
        <v>8</v>
      </c>
    </row>
    <row r="2514" spans="1:6" ht="18" customHeight="1">
      <c r="A2514" s="4" t="s">
        <v>75</v>
      </c>
      <c r="B2514" s="4" t="str">
        <f>"2020032518"</f>
        <v>2020032518</v>
      </c>
      <c r="C2514" s="5">
        <v>0</v>
      </c>
      <c r="D2514" s="6">
        <v>0</v>
      </c>
      <c r="E2514" s="7">
        <f t="shared" si="39"/>
        <v>0</v>
      </c>
      <c r="F2514" s="8" t="s">
        <v>8</v>
      </c>
    </row>
    <row r="2515" spans="1:6" ht="18" customHeight="1">
      <c r="A2515" s="4" t="s">
        <v>75</v>
      </c>
      <c r="B2515" s="4" t="str">
        <f>"2020033021"</f>
        <v>2020033021</v>
      </c>
      <c r="C2515" s="5">
        <v>0</v>
      </c>
      <c r="D2515" s="6">
        <v>0</v>
      </c>
      <c r="E2515" s="7">
        <f t="shared" si="39"/>
        <v>0</v>
      </c>
      <c r="F2515" s="8" t="s">
        <v>8</v>
      </c>
    </row>
    <row r="2516" spans="1:6" ht="18" customHeight="1">
      <c r="A2516" s="4" t="s">
        <v>75</v>
      </c>
      <c r="B2516" s="4" t="str">
        <f>"2020040202"</f>
        <v>2020040202</v>
      </c>
      <c r="C2516" s="5">
        <v>0</v>
      </c>
      <c r="D2516" s="6">
        <v>0</v>
      </c>
      <c r="E2516" s="7">
        <f t="shared" si="39"/>
        <v>0</v>
      </c>
      <c r="F2516" s="8" t="s">
        <v>8</v>
      </c>
    </row>
    <row r="2517" spans="1:6" ht="18" customHeight="1">
      <c r="A2517" s="4" t="s">
        <v>75</v>
      </c>
      <c r="B2517" s="4" t="str">
        <f>"2020041620"</f>
        <v>2020041620</v>
      </c>
      <c r="C2517" s="5">
        <v>0</v>
      </c>
      <c r="D2517" s="6">
        <v>0</v>
      </c>
      <c r="E2517" s="7">
        <f t="shared" si="39"/>
        <v>0</v>
      </c>
      <c r="F2517" s="8" t="s">
        <v>8</v>
      </c>
    </row>
    <row r="2518" spans="1:6" ht="18" customHeight="1">
      <c r="A2518" s="4" t="s">
        <v>75</v>
      </c>
      <c r="B2518" s="4" t="str">
        <f>"2020042213"</f>
        <v>2020042213</v>
      </c>
      <c r="C2518" s="5">
        <v>0</v>
      </c>
      <c r="D2518" s="6">
        <v>0</v>
      </c>
      <c r="E2518" s="7">
        <f t="shared" si="39"/>
        <v>0</v>
      </c>
      <c r="F2518" s="8" t="s">
        <v>8</v>
      </c>
    </row>
    <row r="2519" spans="1:6" ht="18" customHeight="1">
      <c r="A2519" s="4" t="s">
        <v>75</v>
      </c>
      <c r="B2519" s="4" t="str">
        <f>"2020042330"</f>
        <v>2020042330</v>
      </c>
      <c r="C2519" s="5">
        <v>0</v>
      </c>
      <c r="D2519" s="6">
        <v>0</v>
      </c>
      <c r="E2519" s="7">
        <f t="shared" si="39"/>
        <v>0</v>
      </c>
      <c r="F2519" s="8" t="s">
        <v>8</v>
      </c>
    </row>
    <row r="2520" spans="1:6" ht="18" customHeight="1">
      <c r="A2520" s="4" t="s">
        <v>75</v>
      </c>
      <c r="B2520" s="4" t="str">
        <f>"2020042830"</f>
        <v>2020042830</v>
      </c>
      <c r="C2520" s="5">
        <v>0</v>
      </c>
      <c r="D2520" s="6">
        <v>0</v>
      </c>
      <c r="E2520" s="7">
        <f t="shared" si="39"/>
        <v>0</v>
      </c>
      <c r="F2520" s="8" t="s">
        <v>8</v>
      </c>
    </row>
    <row r="2521" spans="1:6" ht="18" customHeight="1">
      <c r="A2521" s="4" t="s">
        <v>75</v>
      </c>
      <c r="B2521" s="4" t="str">
        <f>"2020044007"</f>
        <v>2020044007</v>
      </c>
      <c r="C2521" s="5">
        <v>0</v>
      </c>
      <c r="D2521" s="6">
        <v>0</v>
      </c>
      <c r="E2521" s="7">
        <f t="shared" si="39"/>
        <v>0</v>
      </c>
      <c r="F2521" s="8" t="s">
        <v>8</v>
      </c>
    </row>
    <row r="2522" spans="1:6" ht="18" customHeight="1">
      <c r="A2522" s="4" t="s">
        <v>75</v>
      </c>
      <c r="B2522" s="4" t="str">
        <f>"2020044619"</f>
        <v>2020044619</v>
      </c>
      <c r="C2522" s="5">
        <v>0</v>
      </c>
      <c r="D2522" s="6">
        <v>0</v>
      </c>
      <c r="E2522" s="7">
        <f t="shared" si="39"/>
        <v>0</v>
      </c>
      <c r="F2522" s="8" t="s">
        <v>8</v>
      </c>
    </row>
    <row r="2523" spans="1:6" ht="18" customHeight="1">
      <c r="A2523" s="4" t="s">
        <v>75</v>
      </c>
      <c r="B2523" s="4" t="str">
        <f>"2020044913"</f>
        <v>2020044913</v>
      </c>
      <c r="C2523" s="5">
        <v>0</v>
      </c>
      <c r="D2523" s="6">
        <v>0</v>
      </c>
      <c r="E2523" s="7">
        <f t="shared" si="39"/>
        <v>0</v>
      </c>
      <c r="F2523" s="8" t="s">
        <v>8</v>
      </c>
    </row>
    <row r="2524" spans="1:6" ht="18" customHeight="1">
      <c r="A2524" s="4" t="s">
        <v>75</v>
      </c>
      <c r="B2524" s="4" t="str">
        <f>"2020045603"</f>
        <v>2020045603</v>
      </c>
      <c r="C2524" s="5">
        <v>0</v>
      </c>
      <c r="D2524" s="6">
        <v>0</v>
      </c>
      <c r="E2524" s="7">
        <f t="shared" si="39"/>
        <v>0</v>
      </c>
      <c r="F2524" s="8" t="s">
        <v>8</v>
      </c>
    </row>
    <row r="2525" spans="1:6" ht="18" customHeight="1">
      <c r="A2525" s="4" t="s">
        <v>75</v>
      </c>
      <c r="B2525" s="4" t="str">
        <f>"2020046030"</f>
        <v>2020046030</v>
      </c>
      <c r="C2525" s="5">
        <v>0</v>
      </c>
      <c r="D2525" s="6">
        <v>0</v>
      </c>
      <c r="E2525" s="7">
        <f t="shared" si="39"/>
        <v>0</v>
      </c>
      <c r="F2525" s="8" t="s">
        <v>8</v>
      </c>
    </row>
    <row r="2526" spans="1:6" ht="18" customHeight="1">
      <c r="A2526" s="4" t="s">
        <v>75</v>
      </c>
      <c r="B2526" s="4" t="str">
        <f>"2020047419"</f>
        <v>2020047419</v>
      </c>
      <c r="C2526" s="5">
        <v>0</v>
      </c>
      <c r="D2526" s="6">
        <v>0</v>
      </c>
      <c r="E2526" s="7">
        <f t="shared" si="39"/>
        <v>0</v>
      </c>
      <c r="F2526" s="8" t="s">
        <v>8</v>
      </c>
    </row>
    <row r="2527" spans="1:6" ht="18" customHeight="1">
      <c r="A2527" s="4" t="s">
        <v>75</v>
      </c>
      <c r="B2527" s="4" t="str">
        <f>"2020047612"</f>
        <v>2020047612</v>
      </c>
      <c r="C2527" s="5">
        <v>0</v>
      </c>
      <c r="D2527" s="6">
        <v>0</v>
      </c>
      <c r="E2527" s="7">
        <f t="shared" si="39"/>
        <v>0</v>
      </c>
      <c r="F2527" s="8" t="s">
        <v>8</v>
      </c>
    </row>
    <row r="2528" spans="1:6" ht="18" customHeight="1">
      <c r="A2528" s="4" t="s">
        <v>75</v>
      </c>
      <c r="B2528" s="4" t="str">
        <f>"2020047617"</f>
        <v>2020047617</v>
      </c>
      <c r="C2528" s="5">
        <v>0</v>
      </c>
      <c r="D2528" s="6">
        <v>0</v>
      </c>
      <c r="E2528" s="7">
        <f t="shared" si="39"/>
        <v>0</v>
      </c>
      <c r="F2528" s="8" t="s">
        <v>8</v>
      </c>
    </row>
    <row r="2529" spans="1:6" ht="18" customHeight="1">
      <c r="A2529" s="4" t="s">
        <v>76</v>
      </c>
      <c r="B2529" s="4" t="str">
        <f>"2020023218"</f>
        <v>2020023218</v>
      </c>
      <c r="C2529" s="5">
        <v>62.1</v>
      </c>
      <c r="D2529" s="6">
        <v>69.5</v>
      </c>
      <c r="E2529" s="7">
        <f t="shared" si="39"/>
        <v>131.6</v>
      </c>
      <c r="F2529" s="8"/>
    </row>
    <row r="2530" spans="1:6" ht="18" customHeight="1">
      <c r="A2530" s="4" t="s">
        <v>76</v>
      </c>
      <c r="B2530" s="4" t="str">
        <f>"2020013813"</f>
        <v>2020013813</v>
      </c>
      <c r="C2530" s="5">
        <v>69.599999999999994</v>
      </c>
      <c r="D2530" s="6">
        <v>59.5</v>
      </c>
      <c r="E2530" s="7">
        <f t="shared" si="39"/>
        <v>129.1</v>
      </c>
      <c r="F2530" s="8"/>
    </row>
    <row r="2531" spans="1:6" ht="18" customHeight="1">
      <c r="A2531" s="4" t="s">
        <v>76</v>
      </c>
      <c r="B2531" s="4" t="str">
        <f>"2020045128"</f>
        <v>2020045128</v>
      </c>
      <c r="C2531" s="5">
        <v>0</v>
      </c>
      <c r="D2531" s="6">
        <v>0</v>
      </c>
      <c r="E2531" s="7">
        <f t="shared" si="39"/>
        <v>0</v>
      </c>
      <c r="F2531" s="8" t="s">
        <v>8</v>
      </c>
    </row>
    <row r="2532" spans="1:6" ht="18" customHeight="1">
      <c r="A2532" s="4" t="s">
        <v>77</v>
      </c>
      <c r="B2532" s="4" t="str">
        <f>"2020024625"</f>
        <v>2020024625</v>
      </c>
      <c r="C2532" s="5">
        <v>73.900000000000006</v>
      </c>
      <c r="D2532" s="6">
        <v>87</v>
      </c>
      <c r="E2532" s="7">
        <f t="shared" si="39"/>
        <v>160.9</v>
      </c>
      <c r="F2532" s="8"/>
    </row>
    <row r="2533" spans="1:6" ht="18" customHeight="1">
      <c r="A2533" s="4" t="s">
        <v>77</v>
      </c>
      <c r="B2533" s="4" t="str">
        <f>"2020010919"</f>
        <v>2020010919</v>
      </c>
      <c r="C2533" s="5">
        <v>71.099999999999994</v>
      </c>
      <c r="D2533" s="6">
        <v>79.5</v>
      </c>
      <c r="E2533" s="7">
        <f t="shared" si="39"/>
        <v>150.6</v>
      </c>
      <c r="F2533" s="8"/>
    </row>
    <row r="2534" spans="1:6" ht="18" customHeight="1">
      <c r="A2534" s="4" t="s">
        <v>77</v>
      </c>
      <c r="B2534" s="4" t="str">
        <f>"2020021517"</f>
        <v>2020021517</v>
      </c>
      <c r="C2534" s="5">
        <v>72.599999999999994</v>
      </c>
      <c r="D2534" s="6">
        <v>71</v>
      </c>
      <c r="E2534" s="7">
        <f t="shared" si="39"/>
        <v>143.6</v>
      </c>
      <c r="F2534" s="8"/>
    </row>
    <row r="2535" spans="1:6" ht="18" customHeight="1">
      <c r="A2535" s="4" t="s">
        <v>77</v>
      </c>
      <c r="B2535" s="4" t="str">
        <f>"2020021320"</f>
        <v>2020021320</v>
      </c>
      <c r="C2535" s="5">
        <v>60</v>
      </c>
      <c r="D2535" s="6">
        <v>77.5</v>
      </c>
      <c r="E2535" s="7">
        <f t="shared" si="39"/>
        <v>137.5</v>
      </c>
      <c r="F2535" s="8"/>
    </row>
    <row r="2536" spans="1:6" ht="18" customHeight="1">
      <c r="A2536" s="4" t="s">
        <v>77</v>
      </c>
      <c r="B2536" s="4" t="str">
        <f>"2020021520"</f>
        <v>2020021520</v>
      </c>
      <c r="C2536" s="5">
        <v>64.900000000000006</v>
      </c>
      <c r="D2536" s="6">
        <v>66</v>
      </c>
      <c r="E2536" s="7">
        <f t="shared" si="39"/>
        <v>130.9</v>
      </c>
      <c r="F2536" s="8"/>
    </row>
    <row r="2537" spans="1:6" ht="18" customHeight="1">
      <c r="A2537" s="4" t="s">
        <v>77</v>
      </c>
      <c r="B2537" s="4" t="str">
        <f>"2020040723"</f>
        <v>2020040723</v>
      </c>
      <c r="C2537" s="5">
        <v>61.1</v>
      </c>
      <c r="D2537" s="6">
        <v>69</v>
      </c>
      <c r="E2537" s="7">
        <f t="shared" si="39"/>
        <v>130.1</v>
      </c>
      <c r="F2537" s="8"/>
    </row>
    <row r="2538" spans="1:6" ht="18" customHeight="1">
      <c r="A2538" s="4" t="s">
        <v>77</v>
      </c>
      <c r="B2538" s="4" t="str">
        <f>"2020043216"</f>
        <v>2020043216</v>
      </c>
      <c r="C2538" s="5">
        <v>56.2</v>
      </c>
      <c r="D2538" s="6">
        <v>62</v>
      </c>
      <c r="E2538" s="7">
        <f t="shared" si="39"/>
        <v>118.2</v>
      </c>
      <c r="F2538" s="8"/>
    </row>
    <row r="2539" spans="1:6" ht="18" customHeight="1">
      <c r="A2539" s="4" t="s">
        <v>77</v>
      </c>
      <c r="B2539" s="4" t="str">
        <f>"2020011526"</f>
        <v>2020011526</v>
      </c>
      <c r="C2539" s="5">
        <v>0</v>
      </c>
      <c r="D2539" s="6">
        <v>0</v>
      </c>
      <c r="E2539" s="7">
        <f t="shared" si="39"/>
        <v>0</v>
      </c>
      <c r="F2539" s="9" t="s">
        <v>8</v>
      </c>
    </row>
    <row r="2540" spans="1:6" ht="18" customHeight="1">
      <c r="A2540" s="4" t="s">
        <v>77</v>
      </c>
      <c r="B2540" s="4" t="str">
        <f>"2020011727"</f>
        <v>2020011727</v>
      </c>
      <c r="C2540" s="5">
        <v>0</v>
      </c>
      <c r="D2540" s="6">
        <v>0</v>
      </c>
      <c r="E2540" s="7">
        <f t="shared" si="39"/>
        <v>0</v>
      </c>
      <c r="F2540" s="9" t="s">
        <v>8</v>
      </c>
    </row>
    <row r="2541" spans="1:6" ht="18" customHeight="1">
      <c r="A2541" s="4" t="s">
        <v>78</v>
      </c>
      <c r="B2541" s="4" t="str">
        <f>"2020013520"</f>
        <v>2020013520</v>
      </c>
      <c r="C2541" s="5">
        <v>78.599999999999994</v>
      </c>
      <c r="D2541" s="6">
        <v>71.5</v>
      </c>
      <c r="E2541" s="7">
        <f t="shared" si="39"/>
        <v>150.1</v>
      </c>
      <c r="F2541" s="8"/>
    </row>
    <row r="2542" spans="1:6" ht="18" customHeight="1">
      <c r="A2542" s="4" t="s">
        <v>78</v>
      </c>
      <c r="B2542" s="4" t="str">
        <f>"2020033010"</f>
        <v>2020033010</v>
      </c>
      <c r="C2542" s="5">
        <v>73.099999999999994</v>
      </c>
      <c r="D2542" s="6">
        <v>76</v>
      </c>
      <c r="E2542" s="7">
        <f t="shared" si="39"/>
        <v>149.1</v>
      </c>
      <c r="F2542" s="8"/>
    </row>
    <row r="2543" spans="1:6" ht="18" customHeight="1">
      <c r="A2543" s="4" t="s">
        <v>78</v>
      </c>
      <c r="B2543" s="4" t="str">
        <f>"2020033228"</f>
        <v>2020033228</v>
      </c>
      <c r="C2543" s="5">
        <v>69.599999999999994</v>
      </c>
      <c r="D2543" s="6">
        <v>77.5</v>
      </c>
      <c r="E2543" s="7">
        <f t="shared" si="39"/>
        <v>147.1</v>
      </c>
      <c r="F2543" s="8"/>
    </row>
    <row r="2544" spans="1:6" ht="18" customHeight="1">
      <c r="A2544" s="4" t="s">
        <v>78</v>
      </c>
      <c r="B2544" s="4" t="str">
        <f>"2020045719"</f>
        <v>2020045719</v>
      </c>
      <c r="C2544" s="5">
        <v>69.8</v>
      </c>
      <c r="D2544" s="6">
        <v>72.5</v>
      </c>
      <c r="E2544" s="7">
        <f t="shared" si="39"/>
        <v>142.30000000000001</v>
      </c>
      <c r="F2544" s="8"/>
    </row>
    <row r="2545" spans="1:6" ht="18" customHeight="1">
      <c r="A2545" s="4" t="s">
        <v>78</v>
      </c>
      <c r="B2545" s="4" t="str">
        <f>"2020032921"</f>
        <v>2020032921</v>
      </c>
      <c r="C2545" s="5">
        <v>63.6</v>
      </c>
      <c r="D2545" s="6">
        <v>78.5</v>
      </c>
      <c r="E2545" s="7">
        <f t="shared" si="39"/>
        <v>142.1</v>
      </c>
      <c r="F2545" s="8"/>
    </row>
    <row r="2546" spans="1:6" ht="18" customHeight="1">
      <c r="A2546" s="4" t="s">
        <v>78</v>
      </c>
      <c r="B2546" s="4" t="str">
        <f>"2020030316"</f>
        <v>2020030316</v>
      </c>
      <c r="C2546" s="5">
        <v>70.2</v>
      </c>
      <c r="D2546" s="6">
        <v>70</v>
      </c>
      <c r="E2546" s="7">
        <f t="shared" si="39"/>
        <v>140.19999999999999</v>
      </c>
      <c r="F2546" s="8"/>
    </row>
    <row r="2547" spans="1:6" ht="18" customHeight="1">
      <c r="A2547" s="4" t="s">
        <v>78</v>
      </c>
      <c r="B2547" s="4" t="str">
        <f>"2020011326"</f>
        <v>2020011326</v>
      </c>
      <c r="C2547" s="5">
        <v>71.7</v>
      </c>
      <c r="D2547" s="6">
        <v>67</v>
      </c>
      <c r="E2547" s="7">
        <f t="shared" si="39"/>
        <v>138.69999999999999</v>
      </c>
      <c r="F2547" s="8"/>
    </row>
    <row r="2548" spans="1:6" ht="18" customHeight="1">
      <c r="A2548" s="4" t="s">
        <v>78</v>
      </c>
      <c r="B2548" s="4" t="str">
        <f>"2020040811"</f>
        <v>2020040811</v>
      </c>
      <c r="C2548" s="5">
        <v>63.6</v>
      </c>
      <c r="D2548" s="6">
        <v>75</v>
      </c>
      <c r="E2548" s="7">
        <f t="shared" si="39"/>
        <v>138.6</v>
      </c>
      <c r="F2548" s="8"/>
    </row>
    <row r="2549" spans="1:6" ht="18" customHeight="1">
      <c r="A2549" s="4" t="s">
        <v>78</v>
      </c>
      <c r="B2549" s="4" t="str">
        <f>"2020013717"</f>
        <v>2020013717</v>
      </c>
      <c r="C2549" s="5">
        <v>72.7</v>
      </c>
      <c r="D2549" s="6">
        <v>64.5</v>
      </c>
      <c r="E2549" s="7">
        <f t="shared" si="39"/>
        <v>137.19999999999999</v>
      </c>
      <c r="F2549" s="8"/>
    </row>
    <row r="2550" spans="1:6" ht="18" customHeight="1">
      <c r="A2550" s="4" t="s">
        <v>78</v>
      </c>
      <c r="B2550" s="4" t="str">
        <f>"2020021629"</f>
        <v>2020021629</v>
      </c>
      <c r="C2550" s="5">
        <v>67.900000000000006</v>
      </c>
      <c r="D2550" s="6">
        <v>66</v>
      </c>
      <c r="E2550" s="7">
        <f t="shared" si="39"/>
        <v>133.9</v>
      </c>
      <c r="F2550" s="8"/>
    </row>
    <row r="2551" spans="1:6" ht="18" customHeight="1">
      <c r="A2551" s="4" t="s">
        <v>78</v>
      </c>
      <c r="B2551" s="4" t="str">
        <f>"2020043108"</f>
        <v>2020043108</v>
      </c>
      <c r="C2551" s="5">
        <v>74.2</v>
      </c>
      <c r="D2551" s="6">
        <v>58.5</v>
      </c>
      <c r="E2551" s="7">
        <f t="shared" si="39"/>
        <v>132.69999999999999</v>
      </c>
      <c r="F2551" s="8"/>
    </row>
    <row r="2552" spans="1:6" ht="18" customHeight="1">
      <c r="A2552" s="4" t="s">
        <v>78</v>
      </c>
      <c r="B2552" s="4" t="str">
        <f>"2020022316"</f>
        <v>2020022316</v>
      </c>
      <c r="C2552" s="5">
        <v>57.7</v>
      </c>
      <c r="D2552" s="6">
        <v>74.5</v>
      </c>
      <c r="E2552" s="7">
        <f t="shared" si="39"/>
        <v>132.19999999999999</v>
      </c>
      <c r="F2552" s="8"/>
    </row>
    <row r="2553" spans="1:6" ht="18" customHeight="1">
      <c r="A2553" s="4" t="s">
        <v>78</v>
      </c>
      <c r="B2553" s="4" t="str">
        <f>"2020032816"</f>
        <v>2020032816</v>
      </c>
      <c r="C2553" s="5">
        <v>70.599999999999994</v>
      </c>
      <c r="D2553" s="6">
        <v>60.5</v>
      </c>
      <c r="E2553" s="7">
        <f t="shared" si="39"/>
        <v>131.1</v>
      </c>
      <c r="F2553" s="8"/>
    </row>
    <row r="2554" spans="1:6" ht="18" customHeight="1">
      <c r="A2554" s="4" t="s">
        <v>78</v>
      </c>
      <c r="B2554" s="4" t="str">
        <f>"2020012410"</f>
        <v>2020012410</v>
      </c>
      <c r="C2554" s="5">
        <v>64.3</v>
      </c>
      <c r="D2554" s="6">
        <v>61</v>
      </c>
      <c r="E2554" s="7">
        <f t="shared" si="39"/>
        <v>125.3</v>
      </c>
      <c r="F2554" s="8"/>
    </row>
    <row r="2555" spans="1:6" ht="18" customHeight="1">
      <c r="A2555" s="4" t="s">
        <v>78</v>
      </c>
      <c r="B2555" s="4" t="str">
        <f>"2020030906"</f>
        <v>2020030906</v>
      </c>
      <c r="C2555" s="5">
        <v>65</v>
      </c>
      <c r="D2555" s="6">
        <v>60</v>
      </c>
      <c r="E2555" s="7">
        <f t="shared" si="39"/>
        <v>125</v>
      </c>
      <c r="F2555" s="8"/>
    </row>
    <row r="2556" spans="1:6" ht="18" customHeight="1">
      <c r="A2556" s="4" t="s">
        <v>78</v>
      </c>
      <c r="B2556" s="4" t="str">
        <f>"2020043521"</f>
        <v>2020043521</v>
      </c>
      <c r="C2556" s="5">
        <v>61.2</v>
      </c>
      <c r="D2556" s="6">
        <v>61</v>
      </c>
      <c r="E2556" s="7">
        <f t="shared" si="39"/>
        <v>122.2</v>
      </c>
      <c r="F2556" s="8"/>
    </row>
    <row r="2557" spans="1:6" ht="18" customHeight="1">
      <c r="A2557" s="4" t="s">
        <v>78</v>
      </c>
      <c r="B2557" s="4" t="str">
        <f>"2020010508"</f>
        <v>2020010508</v>
      </c>
      <c r="C2557" s="5">
        <v>0</v>
      </c>
      <c r="D2557" s="6">
        <v>0</v>
      </c>
      <c r="E2557" s="7">
        <f t="shared" si="39"/>
        <v>0</v>
      </c>
      <c r="F2557" s="9" t="s">
        <v>8</v>
      </c>
    </row>
    <row r="2558" spans="1:6" ht="18" customHeight="1">
      <c r="A2558" s="4" t="s">
        <v>78</v>
      </c>
      <c r="B2558" s="4" t="str">
        <f>"2020020423"</f>
        <v>2020020423</v>
      </c>
      <c r="C2558" s="5">
        <v>0</v>
      </c>
      <c r="D2558" s="6">
        <v>0</v>
      </c>
      <c r="E2558" s="7">
        <f t="shared" si="39"/>
        <v>0</v>
      </c>
      <c r="F2558" s="8" t="s">
        <v>8</v>
      </c>
    </row>
    <row r="2559" spans="1:6" ht="18" customHeight="1">
      <c r="A2559" s="4" t="s">
        <v>78</v>
      </c>
      <c r="B2559" s="4" t="str">
        <f>"2020041711"</f>
        <v>2020041711</v>
      </c>
      <c r="C2559" s="5">
        <v>0</v>
      </c>
      <c r="D2559" s="6">
        <v>0</v>
      </c>
      <c r="E2559" s="7">
        <f t="shared" si="39"/>
        <v>0</v>
      </c>
      <c r="F2559" s="8" t="s">
        <v>8</v>
      </c>
    </row>
    <row r="2560" spans="1:6" ht="18" customHeight="1">
      <c r="A2560" s="4" t="s">
        <v>78</v>
      </c>
      <c r="B2560" s="4" t="str">
        <f>"2020044710"</f>
        <v>2020044710</v>
      </c>
      <c r="C2560" s="5">
        <v>0</v>
      </c>
      <c r="D2560" s="6">
        <v>0</v>
      </c>
      <c r="E2560" s="7">
        <f t="shared" si="39"/>
        <v>0</v>
      </c>
      <c r="F2560" s="8" t="s">
        <v>8</v>
      </c>
    </row>
    <row r="2561" spans="1:6" ht="18" customHeight="1">
      <c r="A2561" s="4" t="s">
        <v>79</v>
      </c>
      <c r="B2561" s="4" t="str">
        <f>"2020043516"</f>
        <v>2020043516</v>
      </c>
      <c r="C2561" s="5">
        <v>64.2</v>
      </c>
      <c r="D2561" s="6">
        <v>75.5</v>
      </c>
      <c r="E2561" s="7">
        <f t="shared" si="39"/>
        <v>139.69999999999999</v>
      </c>
      <c r="F2561" s="8"/>
    </row>
    <row r="2562" spans="1:6" ht="18" customHeight="1">
      <c r="A2562" s="4" t="s">
        <v>79</v>
      </c>
      <c r="B2562" s="4" t="str">
        <f>"2020021203"</f>
        <v>2020021203</v>
      </c>
      <c r="C2562" s="5">
        <v>70.5</v>
      </c>
      <c r="D2562" s="6">
        <v>68.5</v>
      </c>
      <c r="E2562" s="7">
        <f t="shared" si="39"/>
        <v>139</v>
      </c>
      <c r="F2562" s="8"/>
    </row>
    <row r="2563" spans="1:6" ht="18" customHeight="1">
      <c r="A2563" s="4" t="s">
        <v>79</v>
      </c>
      <c r="B2563" s="4" t="str">
        <f>"2020023919"</f>
        <v>2020023919</v>
      </c>
      <c r="C2563" s="5">
        <v>64.8</v>
      </c>
      <c r="D2563" s="6">
        <v>73</v>
      </c>
      <c r="E2563" s="7">
        <f t="shared" ref="E2563:E2626" si="40">SUM(C2563:D2563)</f>
        <v>137.80000000000001</v>
      </c>
      <c r="F2563" s="8"/>
    </row>
    <row r="2564" spans="1:6" ht="18" customHeight="1">
      <c r="A2564" s="4" t="s">
        <v>79</v>
      </c>
      <c r="B2564" s="4" t="str">
        <f>"2020024706"</f>
        <v>2020024706</v>
      </c>
      <c r="C2564" s="5">
        <v>70</v>
      </c>
      <c r="D2564" s="6">
        <v>63.5</v>
      </c>
      <c r="E2564" s="7">
        <f t="shared" si="40"/>
        <v>133.5</v>
      </c>
      <c r="F2564" s="8"/>
    </row>
    <row r="2565" spans="1:6" ht="18" customHeight="1">
      <c r="A2565" s="4" t="s">
        <v>79</v>
      </c>
      <c r="B2565" s="4" t="str">
        <f>"2020011819"</f>
        <v>2020011819</v>
      </c>
      <c r="C2565" s="5">
        <v>70.099999999999994</v>
      </c>
      <c r="D2565" s="6">
        <v>59.5</v>
      </c>
      <c r="E2565" s="7">
        <f t="shared" si="40"/>
        <v>129.6</v>
      </c>
      <c r="F2565" s="8"/>
    </row>
    <row r="2566" spans="1:6" ht="18" customHeight="1">
      <c r="A2566" s="4" t="s">
        <v>79</v>
      </c>
      <c r="B2566" s="4" t="str">
        <f>"2020033709"</f>
        <v>2020033709</v>
      </c>
      <c r="C2566" s="5">
        <v>63.9</v>
      </c>
      <c r="D2566" s="6">
        <v>63.5</v>
      </c>
      <c r="E2566" s="7">
        <f t="shared" si="40"/>
        <v>127.4</v>
      </c>
      <c r="F2566" s="8"/>
    </row>
    <row r="2567" spans="1:6" ht="18" customHeight="1">
      <c r="A2567" s="4" t="s">
        <v>79</v>
      </c>
      <c r="B2567" s="4" t="str">
        <f>"2020033817"</f>
        <v>2020033817</v>
      </c>
      <c r="C2567" s="5">
        <v>63.8</v>
      </c>
      <c r="D2567" s="6">
        <v>53.5</v>
      </c>
      <c r="E2567" s="7">
        <f t="shared" si="40"/>
        <v>117.3</v>
      </c>
      <c r="F2567" s="8"/>
    </row>
    <row r="2568" spans="1:6" ht="18" customHeight="1">
      <c r="A2568" s="4" t="s">
        <v>79</v>
      </c>
      <c r="B2568" s="4" t="str">
        <f>"2020013427"</f>
        <v>2020013427</v>
      </c>
      <c r="C2568" s="5">
        <v>0</v>
      </c>
      <c r="D2568" s="6">
        <v>0</v>
      </c>
      <c r="E2568" s="7">
        <f t="shared" si="40"/>
        <v>0</v>
      </c>
      <c r="F2568" s="9" t="s">
        <v>8</v>
      </c>
    </row>
    <row r="2569" spans="1:6" ht="18" customHeight="1">
      <c r="A2569" s="4" t="s">
        <v>79</v>
      </c>
      <c r="B2569" s="4" t="str">
        <f>"2020040916"</f>
        <v>2020040916</v>
      </c>
      <c r="C2569" s="5">
        <v>0</v>
      </c>
      <c r="D2569" s="6">
        <v>0</v>
      </c>
      <c r="E2569" s="7">
        <f t="shared" si="40"/>
        <v>0</v>
      </c>
      <c r="F2569" s="8" t="s">
        <v>8</v>
      </c>
    </row>
    <row r="2570" spans="1:6" ht="18" customHeight="1">
      <c r="A2570" s="4" t="s">
        <v>80</v>
      </c>
      <c r="B2570" s="4" t="str">
        <f>"2020012530"</f>
        <v>2020012530</v>
      </c>
      <c r="C2570" s="5">
        <v>71.900000000000006</v>
      </c>
      <c r="D2570" s="6">
        <v>85.5</v>
      </c>
      <c r="E2570" s="7">
        <f t="shared" si="40"/>
        <v>157.4</v>
      </c>
      <c r="F2570" s="8"/>
    </row>
    <row r="2571" spans="1:6" ht="18" customHeight="1">
      <c r="A2571" s="4" t="s">
        <v>80</v>
      </c>
      <c r="B2571" s="4" t="str">
        <f>"2020033501"</f>
        <v>2020033501</v>
      </c>
      <c r="C2571" s="5">
        <v>65.7</v>
      </c>
      <c r="D2571" s="6">
        <v>82</v>
      </c>
      <c r="E2571" s="7">
        <f t="shared" si="40"/>
        <v>147.69999999999999</v>
      </c>
      <c r="F2571" s="8"/>
    </row>
    <row r="2572" spans="1:6" ht="18" customHeight="1">
      <c r="A2572" s="4" t="s">
        <v>80</v>
      </c>
      <c r="B2572" s="4" t="str">
        <f>"2020010526"</f>
        <v>2020010526</v>
      </c>
      <c r="C2572" s="5">
        <v>71.5</v>
      </c>
      <c r="D2572" s="6">
        <v>65.5</v>
      </c>
      <c r="E2572" s="7">
        <f t="shared" si="40"/>
        <v>137</v>
      </c>
      <c r="F2572" s="8"/>
    </row>
    <row r="2573" spans="1:6" ht="18" customHeight="1">
      <c r="A2573" s="4" t="s">
        <v>80</v>
      </c>
      <c r="B2573" s="4" t="str">
        <f>"2020010905"</f>
        <v>2020010905</v>
      </c>
      <c r="C2573" s="5">
        <v>64.599999999999994</v>
      </c>
      <c r="D2573" s="6">
        <v>60</v>
      </c>
      <c r="E2573" s="7">
        <f t="shared" si="40"/>
        <v>124.6</v>
      </c>
      <c r="F2573" s="8"/>
    </row>
    <row r="2574" spans="1:6" ht="18" customHeight="1">
      <c r="A2574" s="4" t="s">
        <v>80</v>
      </c>
      <c r="B2574" s="4" t="str">
        <f>"2020033128"</f>
        <v>2020033128</v>
      </c>
      <c r="C2574" s="5">
        <v>0</v>
      </c>
      <c r="D2574" s="6">
        <v>0</v>
      </c>
      <c r="E2574" s="7">
        <f t="shared" si="40"/>
        <v>0</v>
      </c>
      <c r="F2574" s="8" t="s">
        <v>8</v>
      </c>
    </row>
    <row r="2575" spans="1:6" ht="18" customHeight="1">
      <c r="A2575" s="4" t="s">
        <v>80</v>
      </c>
      <c r="B2575" s="4" t="str">
        <f>"2020045926"</f>
        <v>2020045926</v>
      </c>
      <c r="C2575" s="5">
        <v>0</v>
      </c>
      <c r="D2575" s="6">
        <v>0</v>
      </c>
      <c r="E2575" s="7">
        <f t="shared" si="40"/>
        <v>0</v>
      </c>
      <c r="F2575" s="8" t="s">
        <v>8</v>
      </c>
    </row>
    <row r="2576" spans="1:6" ht="18" customHeight="1">
      <c r="A2576" s="4" t="s">
        <v>81</v>
      </c>
      <c r="B2576" s="4" t="str">
        <f>"2020021923"</f>
        <v>2020021923</v>
      </c>
      <c r="C2576" s="5">
        <v>67.5</v>
      </c>
      <c r="D2576" s="6">
        <v>75.5</v>
      </c>
      <c r="E2576" s="7">
        <f t="shared" si="40"/>
        <v>143</v>
      </c>
      <c r="F2576" s="8"/>
    </row>
    <row r="2577" spans="1:6" ht="18" customHeight="1">
      <c r="A2577" s="4" t="s">
        <v>81</v>
      </c>
      <c r="B2577" s="4" t="str">
        <f>"2020044407"</f>
        <v>2020044407</v>
      </c>
      <c r="C2577" s="5">
        <v>67.900000000000006</v>
      </c>
      <c r="D2577" s="6">
        <v>74</v>
      </c>
      <c r="E2577" s="7">
        <f t="shared" si="40"/>
        <v>141.9</v>
      </c>
      <c r="F2577" s="8"/>
    </row>
    <row r="2578" spans="1:6" ht="18" customHeight="1">
      <c r="A2578" s="4" t="s">
        <v>81</v>
      </c>
      <c r="B2578" s="4" t="str">
        <f>"2020012010"</f>
        <v>2020012010</v>
      </c>
      <c r="C2578" s="5">
        <v>68</v>
      </c>
      <c r="D2578" s="6">
        <v>67.5</v>
      </c>
      <c r="E2578" s="7">
        <f t="shared" si="40"/>
        <v>135.5</v>
      </c>
      <c r="F2578" s="8"/>
    </row>
    <row r="2579" spans="1:6" ht="18" customHeight="1">
      <c r="A2579" s="4" t="s">
        <v>81</v>
      </c>
      <c r="B2579" s="4" t="str">
        <f>"2020022909"</f>
        <v>2020022909</v>
      </c>
      <c r="C2579" s="5">
        <v>63.5</v>
      </c>
      <c r="D2579" s="6">
        <v>69</v>
      </c>
      <c r="E2579" s="7">
        <f t="shared" si="40"/>
        <v>132.5</v>
      </c>
      <c r="F2579" s="8"/>
    </row>
    <row r="2580" spans="1:6" ht="18" customHeight="1">
      <c r="A2580" s="4" t="s">
        <v>81</v>
      </c>
      <c r="B2580" s="4" t="str">
        <f>"2020045027"</f>
        <v>2020045027</v>
      </c>
      <c r="C2580" s="5">
        <v>64.2</v>
      </c>
      <c r="D2580" s="6">
        <v>66.5</v>
      </c>
      <c r="E2580" s="7">
        <f t="shared" si="40"/>
        <v>130.69999999999999</v>
      </c>
      <c r="F2580" s="8"/>
    </row>
    <row r="2581" spans="1:6" ht="18" customHeight="1">
      <c r="A2581" s="4" t="s">
        <v>81</v>
      </c>
      <c r="B2581" s="4" t="str">
        <f>"2020023304"</f>
        <v>2020023304</v>
      </c>
      <c r="C2581" s="5">
        <v>68.400000000000006</v>
      </c>
      <c r="D2581" s="6">
        <v>62</v>
      </c>
      <c r="E2581" s="7">
        <f t="shared" si="40"/>
        <v>130.4</v>
      </c>
      <c r="F2581" s="8"/>
    </row>
    <row r="2582" spans="1:6" ht="18" customHeight="1">
      <c r="A2582" s="4" t="s">
        <v>81</v>
      </c>
      <c r="B2582" s="4" t="str">
        <f>"2020010823"</f>
        <v>2020010823</v>
      </c>
      <c r="C2582" s="5">
        <v>69</v>
      </c>
      <c r="D2582" s="6">
        <v>58</v>
      </c>
      <c r="E2582" s="7">
        <f t="shared" si="40"/>
        <v>127</v>
      </c>
      <c r="F2582" s="8"/>
    </row>
    <row r="2583" spans="1:6" ht="18" customHeight="1">
      <c r="A2583" s="4" t="s">
        <v>81</v>
      </c>
      <c r="B2583" s="4" t="str">
        <f>"2020021509"</f>
        <v>2020021509</v>
      </c>
      <c r="C2583" s="5">
        <v>72.599999999999994</v>
      </c>
      <c r="D2583" s="6">
        <v>53.5</v>
      </c>
      <c r="E2583" s="7">
        <f t="shared" si="40"/>
        <v>126.1</v>
      </c>
      <c r="F2583" s="8"/>
    </row>
    <row r="2584" spans="1:6" ht="18" customHeight="1">
      <c r="A2584" s="4" t="s">
        <v>81</v>
      </c>
      <c r="B2584" s="4" t="str">
        <f>"2020045517"</f>
        <v>2020045517</v>
      </c>
      <c r="C2584" s="5">
        <v>68.900000000000006</v>
      </c>
      <c r="D2584" s="6">
        <v>56</v>
      </c>
      <c r="E2584" s="7">
        <f t="shared" si="40"/>
        <v>124.9</v>
      </c>
      <c r="F2584" s="8"/>
    </row>
    <row r="2585" spans="1:6" ht="18" customHeight="1">
      <c r="A2585" s="4" t="s">
        <v>81</v>
      </c>
      <c r="B2585" s="4" t="str">
        <f>"2020032002"</f>
        <v>2020032002</v>
      </c>
      <c r="C2585" s="5">
        <v>64</v>
      </c>
      <c r="D2585" s="6">
        <v>60</v>
      </c>
      <c r="E2585" s="7">
        <f t="shared" si="40"/>
        <v>124</v>
      </c>
      <c r="F2585" s="8"/>
    </row>
    <row r="2586" spans="1:6" ht="18" customHeight="1">
      <c r="A2586" s="4" t="s">
        <v>81</v>
      </c>
      <c r="B2586" s="4" t="str">
        <f>"2020041103"</f>
        <v>2020041103</v>
      </c>
      <c r="C2586" s="5">
        <v>56</v>
      </c>
      <c r="D2586" s="6">
        <v>66</v>
      </c>
      <c r="E2586" s="7">
        <f t="shared" si="40"/>
        <v>122</v>
      </c>
      <c r="F2586" s="8"/>
    </row>
    <row r="2587" spans="1:6" ht="18" customHeight="1">
      <c r="A2587" s="4" t="s">
        <v>81</v>
      </c>
      <c r="B2587" s="4" t="str">
        <f>"2020023127"</f>
        <v>2020023127</v>
      </c>
      <c r="C2587" s="5">
        <v>62.3</v>
      </c>
      <c r="D2587" s="6">
        <v>59.5</v>
      </c>
      <c r="E2587" s="7">
        <f t="shared" si="40"/>
        <v>121.8</v>
      </c>
      <c r="F2587" s="8"/>
    </row>
    <row r="2588" spans="1:6" ht="18" customHeight="1">
      <c r="A2588" s="4" t="s">
        <v>81</v>
      </c>
      <c r="B2588" s="4" t="str">
        <f>"2020042220"</f>
        <v>2020042220</v>
      </c>
      <c r="C2588" s="5">
        <v>62.7</v>
      </c>
      <c r="D2588" s="6">
        <v>56.5</v>
      </c>
      <c r="E2588" s="7">
        <f t="shared" si="40"/>
        <v>119.2</v>
      </c>
      <c r="F2588" s="8"/>
    </row>
    <row r="2589" spans="1:6" ht="18" customHeight="1">
      <c r="A2589" s="4" t="s">
        <v>81</v>
      </c>
      <c r="B2589" s="4" t="str">
        <f>"2020040119"</f>
        <v>2020040119</v>
      </c>
      <c r="C2589" s="5">
        <v>63.2</v>
      </c>
      <c r="D2589" s="6">
        <v>54.5</v>
      </c>
      <c r="E2589" s="7">
        <f t="shared" si="40"/>
        <v>117.7</v>
      </c>
      <c r="F2589" s="8"/>
    </row>
    <row r="2590" spans="1:6" ht="18" customHeight="1">
      <c r="A2590" s="4" t="s">
        <v>81</v>
      </c>
      <c r="B2590" s="4" t="str">
        <f>"2020033406"</f>
        <v>2020033406</v>
      </c>
      <c r="C2590" s="5">
        <v>56.4</v>
      </c>
      <c r="D2590" s="6">
        <v>54.5</v>
      </c>
      <c r="E2590" s="7">
        <f t="shared" si="40"/>
        <v>110.9</v>
      </c>
      <c r="F2590" s="8"/>
    </row>
    <row r="2591" spans="1:6" ht="18" customHeight="1">
      <c r="A2591" s="4" t="s">
        <v>81</v>
      </c>
      <c r="B2591" s="4" t="str">
        <f>"2020010818"</f>
        <v>2020010818</v>
      </c>
      <c r="C2591" s="5">
        <v>0</v>
      </c>
      <c r="D2591" s="6">
        <v>0</v>
      </c>
      <c r="E2591" s="7">
        <f t="shared" si="40"/>
        <v>0</v>
      </c>
      <c r="F2591" s="9" t="s">
        <v>8</v>
      </c>
    </row>
    <row r="2592" spans="1:6" ht="18" customHeight="1">
      <c r="A2592" s="4" t="s">
        <v>81</v>
      </c>
      <c r="B2592" s="4" t="str">
        <f>"2020011004"</f>
        <v>2020011004</v>
      </c>
      <c r="C2592" s="5">
        <v>0</v>
      </c>
      <c r="D2592" s="6">
        <v>0</v>
      </c>
      <c r="E2592" s="7">
        <f t="shared" si="40"/>
        <v>0</v>
      </c>
      <c r="F2592" s="9" t="s">
        <v>8</v>
      </c>
    </row>
    <row r="2593" spans="1:6" ht="18" customHeight="1">
      <c r="A2593" s="4" t="s">
        <v>81</v>
      </c>
      <c r="B2593" s="4" t="str">
        <f>"2020011402"</f>
        <v>2020011402</v>
      </c>
      <c r="C2593" s="5">
        <v>0</v>
      </c>
      <c r="D2593" s="6">
        <v>0</v>
      </c>
      <c r="E2593" s="7">
        <f t="shared" si="40"/>
        <v>0</v>
      </c>
      <c r="F2593" s="9" t="s">
        <v>8</v>
      </c>
    </row>
    <row r="2594" spans="1:6" ht="18" customHeight="1">
      <c r="A2594" s="4" t="s">
        <v>81</v>
      </c>
      <c r="B2594" s="4" t="str">
        <f>"2020040214"</f>
        <v>2020040214</v>
      </c>
      <c r="C2594" s="5">
        <v>0</v>
      </c>
      <c r="D2594" s="6">
        <v>0</v>
      </c>
      <c r="E2594" s="7">
        <f t="shared" si="40"/>
        <v>0</v>
      </c>
      <c r="F2594" s="8" t="s">
        <v>8</v>
      </c>
    </row>
    <row r="2595" spans="1:6" ht="18" customHeight="1">
      <c r="A2595" s="4" t="s">
        <v>82</v>
      </c>
      <c r="B2595" s="4" t="str">
        <f>"2020024323"</f>
        <v>2020024323</v>
      </c>
      <c r="C2595" s="5">
        <v>80.7</v>
      </c>
      <c r="D2595" s="6">
        <v>72</v>
      </c>
      <c r="E2595" s="7">
        <f t="shared" si="40"/>
        <v>152.69999999999999</v>
      </c>
      <c r="F2595" s="8"/>
    </row>
    <row r="2596" spans="1:6" ht="18" customHeight="1">
      <c r="A2596" s="4" t="s">
        <v>82</v>
      </c>
      <c r="B2596" s="4" t="str">
        <f>"2020042227"</f>
        <v>2020042227</v>
      </c>
      <c r="C2596" s="5">
        <v>75</v>
      </c>
      <c r="D2596" s="6">
        <v>71.5</v>
      </c>
      <c r="E2596" s="7">
        <f t="shared" si="40"/>
        <v>146.5</v>
      </c>
      <c r="F2596" s="8"/>
    </row>
    <row r="2597" spans="1:6" ht="18" customHeight="1">
      <c r="A2597" s="4" t="s">
        <v>82</v>
      </c>
      <c r="B2597" s="4" t="str">
        <f>"2020012324"</f>
        <v>2020012324</v>
      </c>
      <c r="C2597" s="5">
        <v>70.599999999999994</v>
      </c>
      <c r="D2597" s="6">
        <v>71.5</v>
      </c>
      <c r="E2597" s="7">
        <f t="shared" si="40"/>
        <v>142.1</v>
      </c>
      <c r="F2597" s="8"/>
    </row>
    <row r="2598" spans="1:6" ht="18" customHeight="1">
      <c r="A2598" s="4" t="s">
        <v>82</v>
      </c>
      <c r="B2598" s="4" t="str">
        <f>"2020041309"</f>
        <v>2020041309</v>
      </c>
      <c r="C2598" s="5">
        <v>69.099999999999994</v>
      </c>
      <c r="D2598" s="6">
        <v>70</v>
      </c>
      <c r="E2598" s="7">
        <f t="shared" si="40"/>
        <v>139.1</v>
      </c>
      <c r="F2598" s="8"/>
    </row>
    <row r="2599" spans="1:6" ht="18" customHeight="1">
      <c r="A2599" s="4" t="s">
        <v>82</v>
      </c>
      <c r="B2599" s="4" t="str">
        <f>"2020020716"</f>
        <v>2020020716</v>
      </c>
      <c r="C2599" s="5">
        <v>71.599999999999994</v>
      </c>
      <c r="D2599" s="6">
        <v>59</v>
      </c>
      <c r="E2599" s="7">
        <f t="shared" si="40"/>
        <v>130.6</v>
      </c>
      <c r="F2599" s="8"/>
    </row>
    <row r="2600" spans="1:6" ht="18" customHeight="1">
      <c r="A2600" s="4" t="s">
        <v>82</v>
      </c>
      <c r="B2600" s="4" t="str">
        <f>"2020022904"</f>
        <v>2020022904</v>
      </c>
      <c r="C2600" s="5">
        <v>65.400000000000006</v>
      </c>
      <c r="D2600" s="6">
        <v>63.5</v>
      </c>
      <c r="E2600" s="7">
        <f t="shared" si="40"/>
        <v>128.9</v>
      </c>
      <c r="F2600" s="8"/>
    </row>
    <row r="2601" spans="1:6" ht="18" customHeight="1">
      <c r="A2601" s="4" t="s">
        <v>82</v>
      </c>
      <c r="B2601" s="4" t="str">
        <f>"2020032915"</f>
        <v>2020032915</v>
      </c>
      <c r="C2601" s="5">
        <v>66.400000000000006</v>
      </c>
      <c r="D2601" s="6">
        <v>53.5</v>
      </c>
      <c r="E2601" s="7">
        <f t="shared" si="40"/>
        <v>119.9</v>
      </c>
      <c r="F2601" s="8"/>
    </row>
    <row r="2602" spans="1:6" ht="18" customHeight="1">
      <c r="A2602" s="4" t="s">
        <v>82</v>
      </c>
      <c r="B2602" s="4" t="str">
        <f>"2020045823"</f>
        <v>2020045823</v>
      </c>
      <c r="C2602" s="5">
        <v>58.9</v>
      </c>
      <c r="D2602" s="6">
        <v>59</v>
      </c>
      <c r="E2602" s="7">
        <f t="shared" si="40"/>
        <v>117.9</v>
      </c>
      <c r="F2602" s="8"/>
    </row>
    <row r="2603" spans="1:6" ht="18" customHeight="1">
      <c r="A2603" s="4" t="s">
        <v>82</v>
      </c>
      <c r="B2603" s="4" t="str">
        <f>"2020040506"</f>
        <v>2020040506</v>
      </c>
      <c r="C2603" s="5">
        <v>56.4</v>
      </c>
      <c r="D2603" s="6">
        <v>56</v>
      </c>
      <c r="E2603" s="7">
        <f t="shared" si="40"/>
        <v>112.4</v>
      </c>
      <c r="F2603" s="8"/>
    </row>
    <row r="2604" spans="1:6" ht="18" customHeight="1">
      <c r="A2604" s="4" t="s">
        <v>82</v>
      </c>
      <c r="B2604" s="4" t="str">
        <f>"2020022113"</f>
        <v>2020022113</v>
      </c>
      <c r="C2604" s="5">
        <v>0</v>
      </c>
      <c r="D2604" s="6">
        <v>0</v>
      </c>
      <c r="E2604" s="7">
        <f t="shared" si="40"/>
        <v>0</v>
      </c>
      <c r="F2604" s="8" t="s">
        <v>8</v>
      </c>
    </row>
    <row r="2605" spans="1:6" ht="18" customHeight="1">
      <c r="A2605" s="4" t="s">
        <v>82</v>
      </c>
      <c r="B2605" s="4" t="str">
        <f>"2020024230"</f>
        <v>2020024230</v>
      </c>
      <c r="C2605" s="5">
        <v>0</v>
      </c>
      <c r="D2605" s="6">
        <v>0</v>
      </c>
      <c r="E2605" s="7">
        <f t="shared" si="40"/>
        <v>0</v>
      </c>
      <c r="F2605" s="8" t="s">
        <v>8</v>
      </c>
    </row>
    <row r="2606" spans="1:6" ht="18" customHeight="1">
      <c r="A2606" s="4" t="s">
        <v>82</v>
      </c>
      <c r="B2606" s="4" t="str">
        <f>"2020046113"</f>
        <v>2020046113</v>
      </c>
      <c r="C2606" s="5">
        <v>0</v>
      </c>
      <c r="D2606" s="6">
        <v>0</v>
      </c>
      <c r="E2606" s="7">
        <f t="shared" si="40"/>
        <v>0</v>
      </c>
      <c r="F2606" s="8" t="s">
        <v>8</v>
      </c>
    </row>
    <row r="2607" spans="1:6" ht="18" customHeight="1">
      <c r="A2607" s="4" t="s">
        <v>83</v>
      </c>
      <c r="B2607" s="4" t="str">
        <f>"2020043414"</f>
        <v>2020043414</v>
      </c>
      <c r="C2607" s="5">
        <v>75.400000000000006</v>
      </c>
      <c r="D2607" s="6">
        <v>85</v>
      </c>
      <c r="E2607" s="7">
        <f t="shared" si="40"/>
        <v>160.4</v>
      </c>
      <c r="F2607" s="8"/>
    </row>
    <row r="2608" spans="1:6" ht="18" customHeight="1">
      <c r="A2608" s="4" t="s">
        <v>83</v>
      </c>
      <c r="B2608" s="4" t="str">
        <f>"2020023624"</f>
        <v>2020023624</v>
      </c>
      <c r="C2608" s="5">
        <v>77.3</v>
      </c>
      <c r="D2608" s="6">
        <v>80.5</v>
      </c>
      <c r="E2608" s="7">
        <f t="shared" si="40"/>
        <v>157.80000000000001</v>
      </c>
      <c r="F2608" s="8"/>
    </row>
    <row r="2609" spans="1:6" ht="18" customHeight="1">
      <c r="A2609" s="4" t="s">
        <v>83</v>
      </c>
      <c r="B2609" s="4" t="str">
        <f>"2020032621"</f>
        <v>2020032621</v>
      </c>
      <c r="C2609" s="5">
        <v>77.900000000000006</v>
      </c>
      <c r="D2609" s="6">
        <v>78.5</v>
      </c>
      <c r="E2609" s="7">
        <f t="shared" si="40"/>
        <v>156.4</v>
      </c>
      <c r="F2609" s="8"/>
    </row>
    <row r="2610" spans="1:6" ht="18" customHeight="1">
      <c r="A2610" s="4" t="s">
        <v>83</v>
      </c>
      <c r="B2610" s="4" t="str">
        <f>"2020022209"</f>
        <v>2020022209</v>
      </c>
      <c r="C2610" s="5">
        <v>78.400000000000006</v>
      </c>
      <c r="D2610" s="6">
        <v>77.5</v>
      </c>
      <c r="E2610" s="7">
        <f t="shared" si="40"/>
        <v>155.9</v>
      </c>
      <c r="F2610" s="8"/>
    </row>
    <row r="2611" spans="1:6" ht="18" customHeight="1">
      <c r="A2611" s="4" t="s">
        <v>83</v>
      </c>
      <c r="B2611" s="4" t="str">
        <f>"2020031122"</f>
        <v>2020031122</v>
      </c>
      <c r="C2611" s="5">
        <v>69.5</v>
      </c>
      <c r="D2611" s="6">
        <v>81.5</v>
      </c>
      <c r="E2611" s="7">
        <f t="shared" si="40"/>
        <v>151</v>
      </c>
      <c r="F2611" s="8"/>
    </row>
    <row r="2612" spans="1:6" ht="18" customHeight="1">
      <c r="A2612" s="4" t="s">
        <v>83</v>
      </c>
      <c r="B2612" s="4" t="str">
        <f>"2020045813"</f>
        <v>2020045813</v>
      </c>
      <c r="C2612" s="5">
        <v>75.8</v>
      </c>
      <c r="D2612" s="6">
        <v>74.5</v>
      </c>
      <c r="E2612" s="7">
        <f t="shared" si="40"/>
        <v>150.30000000000001</v>
      </c>
      <c r="F2612" s="9" t="s">
        <v>13</v>
      </c>
    </row>
    <row r="2613" spans="1:6" ht="18" customHeight="1">
      <c r="A2613" s="4" t="s">
        <v>83</v>
      </c>
      <c r="B2613" s="4" t="str">
        <f>"2020032219"</f>
        <v>2020032219</v>
      </c>
      <c r="C2613" s="5">
        <v>76.5</v>
      </c>
      <c r="D2613" s="6">
        <v>72.5</v>
      </c>
      <c r="E2613" s="7">
        <f t="shared" si="40"/>
        <v>149</v>
      </c>
      <c r="F2613" s="8"/>
    </row>
    <row r="2614" spans="1:6" ht="18" customHeight="1">
      <c r="A2614" s="4" t="s">
        <v>83</v>
      </c>
      <c r="B2614" s="4" t="str">
        <f>"2020045004"</f>
        <v>2020045004</v>
      </c>
      <c r="C2614" s="5">
        <v>66.599999999999994</v>
      </c>
      <c r="D2614" s="6">
        <v>81.5</v>
      </c>
      <c r="E2614" s="7">
        <f t="shared" si="40"/>
        <v>148.1</v>
      </c>
      <c r="F2614" s="8"/>
    </row>
    <row r="2615" spans="1:6" ht="18" customHeight="1">
      <c r="A2615" s="4" t="s">
        <v>83</v>
      </c>
      <c r="B2615" s="4" t="str">
        <f>"2020046025"</f>
        <v>2020046025</v>
      </c>
      <c r="C2615" s="5">
        <v>68.5</v>
      </c>
      <c r="D2615" s="6">
        <v>77.5</v>
      </c>
      <c r="E2615" s="7">
        <f t="shared" si="40"/>
        <v>146</v>
      </c>
      <c r="F2615" s="8"/>
    </row>
    <row r="2616" spans="1:6" ht="18" customHeight="1">
      <c r="A2616" s="4" t="s">
        <v>83</v>
      </c>
      <c r="B2616" s="4" t="str">
        <f>"2020033207"</f>
        <v>2020033207</v>
      </c>
      <c r="C2616" s="5">
        <v>75.599999999999994</v>
      </c>
      <c r="D2616" s="6">
        <v>69</v>
      </c>
      <c r="E2616" s="7">
        <f t="shared" si="40"/>
        <v>144.6</v>
      </c>
      <c r="F2616" s="8"/>
    </row>
    <row r="2617" spans="1:6" ht="18" customHeight="1">
      <c r="A2617" s="4" t="s">
        <v>83</v>
      </c>
      <c r="B2617" s="4" t="str">
        <f>"2020022525"</f>
        <v>2020022525</v>
      </c>
      <c r="C2617" s="5">
        <v>75.599999999999994</v>
      </c>
      <c r="D2617" s="6">
        <v>67</v>
      </c>
      <c r="E2617" s="7">
        <f t="shared" si="40"/>
        <v>142.6</v>
      </c>
      <c r="F2617" s="8"/>
    </row>
    <row r="2618" spans="1:6" ht="18" customHeight="1">
      <c r="A2618" s="4" t="s">
        <v>83</v>
      </c>
      <c r="B2618" s="4" t="str">
        <f>"2020044228"</f>
        <v>2020044228</v>
      </c>
      <c r="C2618" s="5">
        <v>77</v>
      </c>
      <c r="D2618" s="6">
        <v>65</v>
      </c>
      <c r="E2618" s="7">
        <f t="shared" si="40"/>
        <v>142</v>
      </c>
      <c r="F2618" s="9" t="s">
        <v>13</v>
      </c>
    </row>
    <row r="2619" spans="1:6" ht="18" customHeight="1">
      <c r="A2619" s="4" t="s">
        <v>83</v>
      </c>
      <c r="B2619" s="4" t="str">
        <f>"2020022120"</f>
        <v>2020022120</v>
      </c>
      <c r="C2619" s="5">
        <v>69.400000000000006</v>
      </c>
      <c r="D2619" s="6">
        <v>70</v>
      </c>
      <c r="E2619" s="7">
        <f t="shared" si="40"/>
        <v>139.4</v>
      </c>
      <c r="F2619" s="8"/>
    </row>
    <row r="2620" spans="1:6" ht="18" customHeight="1">
      <c r="A2620" s="4" t="s">
        <v>83</v>
      </c>
      <c r="B2620" s="4" t="str">
        <f>"2020012219"</f>
        <v>2020012219</v>
      </c>
      <c r="C2620" s="5">
        <v>65.7</v>
      </c>
      <c r="D2620" s="6">
        <v>72.5</v>
      </c>
      <c r="E2620" s="7">
        <f t="shared" si="40"/>
        <v>138.19999999999999</v>
      </c>
      <c r="F2620" s="8"/>
    </row>
    <row r="2621" spans="1:6" ht="18" customHeight="1">
      <c r="A2621" s="4" t="s">
        <v>83</v>
      </c>
      <c r="B2621" s="4" t="str">
        <f>"2020046211"</f>
        <v>2020046211</v>
      </c>
      <c r="C2621" s="5">
        <v>69.8</v>
      </c>
      <c r="D2621" s="6">
        <v>65</v>
      </c>
      <c r="E2621" s="7">
        <f t="shared" si="40"/>
        <v>134.80000000000001</v>
      </c>
      <c r="F2621" s="8"/>
    </row>
    <row r="2622" spans="1:6" ht="18" customHeight="1">
      <c r="A2622" s="4" t="s">
        <v>83</v>
      </c>
      <c r="B2622" s="4" t="str">
        <f>"2020042919"</f>
        <v>2020042919</v>
      </c>
      <c r="C2622" s="5">
        <v>65.7</v>
      </c>
      <c r="D2622" s="6">
        <v>68.5</v>
      </c>
      <c r="E2622" s="7">
        <f t="shared" si="40"/>
        <v>134.19999999999999</v>
      </c>
      <c r="F2622" s="8"/>
    </row>
    <row r="2623" spans="1:6" ht="18" customHeight="1">
      <c r="A2623" s="4" t="s">
        <v>83</v>
      </c>
      <c r="B2623" s="4" t="str">
        <f>"2020023803"</f>
        <v>2020023803</v>
      </c>
      <c r="C2623" s="5">
        <v>63.9</v>
      </c>
      <c r="D2623" s="6">
        <v>69</v>
      </c>
      <c r="E2623" s="7">
        <f t="shared" si="40"/>
        <v>132.9</v>
      </c>
      <c r="F2623" s="8"/>
    </row>
    <row r="2624" spans="1:6" ht="18" customHeight="1">
      <c r="A2624" s="4" t="s">
        <v>83</v>
      </c>
      <c r="B2624" s="4" t="str">
        <f>"2020041523"</f>
        <v>2020041523</v>
      </c>
      <c r="C2624" s="5">
        <v>64.599999999999994</v>
      </c>
      <c r="D2624" s="6">
        <v>68</v>
      </c>
      <c r="E2624" s="7">
        <f t="shared" si="40"/>
        <v>132.6</v>
      </c>
      <c r="F2624" s="8"/>
    </row>
    <row r="2625" spans="1:6" ht="18" customHeight="1">
      <c r="A2625" s="4" t="s">
        <v>83</v>
      </c>
      <c r="B2625" s="4" t="str">
        <f>"2020044102"</f>
        <v>2020044102</v>
      </c>
      <c r="C2625" s="5">
        <v>64.599999999999994</v>
      </c>
      <c r="D2625" s="6">
        <v>68</v>
      </c>
      <c r="E2625" s="7">
        <f t="shared" si="40"/>
        <v>132.6</v>
      </c>
      <c r="F2625" s="8"/>
    </row>
    <row r="2626" spans="1:6" ht="18" customHeight="1">
      <c r="A2626" s="4" t="s">
        <v>83</v>
      </c>
      <c r="B2626" s="4" t="str">
        <f>"2020046216"</f>
        <v>2020046216</v>
      </c>
      <c r="C2626" s="5">
        <v>66.599999999999994</v>
      </c>
      <c r="D2626" s="6">
        <v>64</v>
      </c>
      <c r="E2626" s="7">
        <f t="shared" si="40"/>
        <v>130.6</v>
      </c>
      <c r="F2626" s="8"/>
    </row>
    <row r="2627" spans="1:6" ht="18" customHeight="1">
      <c r="A2627" s="4" t="s">
        <v>83</v>
      </c>
      <c r="B2627" s="4" t="str">
        <f>"2020046218"</f>
        <v>2020046218</v>
      </c>
      <c r="C2627" s="5">
        <v>71.099999999999994</v>
      </c>
      <c r="D2627" s="6">
        <v>59</v>
      </c>
      <c r="E2627" s="7">
        <f t="shared" ref="E2627:E2690" si="41">SUM(C2627:D2627)</f>
        <v>130.1</v>
      </c>
      <c r="F2627" s="8"/>
    </row>
    <row r="2628" spans="1:6" ht="18" customHeight="1">
      <c r="A2628" s="4" t="s">
        <v>83</v>
      </c>
      <c r="B2628" s="4" t="str">
        <f>"2020041304"</f>
        <v>2020041304</v>
      </c>
      <c r="C2628" s="5">
        <v>68.5</v>
      </c>
      <c r="D2628" s="6">
        <v>61</v>
      </c>
      <c r="E2628" s="7">
        <f t="shared" si="41"/>
        <v>129.5</v>
      </c>
      <c r="F2628" s="8"/>
    </row>
    <row r="2629" spans="1:6" ht="18" customHeight="1">
      <c r="A2629" s="4" t="s">
        <v>83</v>
      </c>
      <c r="B2629" s="4" t="str">
        <f>"2020040310"</f>
        <v>2020040310</v>
      </c>
      <c r="C2629" s="5">
        <v>69.7</v>
      </c>
      <c r="D2629" s="6">
        <v>59.5</v>
      </c>
      <c r="E2629" s="7">
        <f t="shared" si="41"/>
        <v>129.19999999999999</v>
      </c>
      <c r="F2629" s="8"/>
    </row>
    <row r="2630" spans="1:6" ht="18" customHeight="1">
      <c r="A2630" s="4" t="s">
        <v>83</v>
      </c>
      <c r="B2630" s="4" t="str">
        <f>"2020013024"</f>
        <v>2020013024</v>
      </c>
      <c r="C2630" s="5">
        <v>56.1</v>
      </c>
      <c r="D2630" s="6">
        <v>67</v>
      </c>
      <c r="E2630" s="7">
        <f t="shared" si="41"/>
        <v>123.1</v>
      </c>
      <c r="F2630" s="8"/>
    </row>
    <row r="2631" spans="1:6" ht="18" customHeight="1">
      <c r="A2631" s="4" t="s">
        <v>83</v>
      </c>
      <c r="B2631" s="4" t="str">
        <f>"2020044915"</f>
        <v>2020044915</v>
      </c>
      <c r="C2631" s="5">
        <v>65.400000000000006</v>
      </c>
      <c r="D2631" s="6">
        <v>57</v>
      </c>
      <c r="E2631" s="7">
        <f t="shared" si="41"/>
        <v>122.4</v>
      </c>
      <c r="F2631" s="8"/>
    </row>
    <row r="2632" spans="1:6" ht="18" customHeight="1">
      <c r="A2632" s="4" t="s">
        <v>83</v>
      </c>
      <c r="B2632" s="4" t="str">
        <f>"2020022609"</f>
        <v>2020022609</v>
      </c>
      <c r="C2632" s="5">
        <v>64.400000000000006</v>
      </c>
      <c r="D2632" s="6">
        <v>58</v>
      </c>
      <c r="E2632" s="7">
        <f t="shared" si="41"/>
        <v>122.4</v>
      </c>
      <c r="F2632" s="8"/>
    </row>
    <row r="2633" spans="1:6" ht="18" customHeight="1">
      <c r="A2633" s="4" t="s">
        <v>83</v>
      </c>
      <c r="B2633" s="4" t="str">
        <f>"2020024422"</f>
        <v>2020024422</v>
      </c>
      <c r="C2633" s="5">
        <v>68.5</v>
      </c>
      <c r="D2633" s="6">
        <v>53.5</v>
      </c>
      <c r="E2633" s="7">
        <f t="shared" si="41"/>
        <v>122</v>
      </c>
      <c r="F2633" s="8"/>
    </row>
    <row r="2634" spans="1:6" ht="18" customHeight="1">
      <c r="A2634" s="4" t="s">
        <v>83</v>
      </c>
      <c r="B2634" s="4" t="str">
        <f>"2020010422"</f>
        <v>2020010422</v>
      </c>
      <c r="C2634" s="5">
        <v>68.099999999999994</v>
      </c>
      <c r="D2634" s="6">
        <v>52</v>
      </c>
      <c r="E2634" s="7">
        <f t="shared" si="41"/>
        <v>120.1</v>
      </c>
      <c r="F2634" s="8"/>
    </row>
    <row r="2635" spans="1:6" ht="18" customHeight="1">
      <c r="A2635" s="4" t="s">
        <v>83</v>
      </c>
      <c r="B2635" s="4" t="str">
        <f>"2020042825"</f>
        <v>2020042825</v>
      </c>
      <c r="C2635" s="5">
        <v>61.8</v>
      </c>
      <c r="D2635" s="6">
        <v>55</v>
      </c>
      <c r="E2635" s="7">
        <f t="shared" si="41"/>
        <v>116.8</v>
      </c>
      <c r="F2635" s="8"/>
    </row>
    <row r="2636" spans="1:6" ht="18" customHeight="1">
      <c r="A2636" s="4" t="s">
        <v>83</v>
      </c>
      <c r="B2636" s="4" t="str">
        <f>"2020043514"</f>
        <v>2020043514</v>
      </c>
      <c r="C2636" s="5">
        <v>59</v>
      </c>
      <c r="D2636" s="6">
        <v>53.5</v>
      </c>
      <c r="E2636" s="7">
        <f t="shared" si="41"/>
        <v>112.5</v>
      </c>
      <c r="F2636" s="8"/>
    </row>
    <row r="2637" spans="1:6" ht="18" customHeight="1">
      <c r="A2637" s="4" t="s">
        <v>83</v>
      </c>
      <c r="B2637" s="4" t="str">
        <f>"2020044307"</f>
        <v>2020044307</v>
      </c>
      <c r="C2637" s="5">
        <v>0</v>
      </c>
      <c r="D2637" s="6">
        <v>25</v>
      </c>
      <c r="E2637" s="7">
        <f t="shared" si="41"/>
        <v>25</v>
      </c>
      <c r="F2637" s="8" t="s">
        <v>10</v>
      </c>
    </row>
    <row r="2638" spans="1:6" ht="18" customHeight="1">
      <c r="A2638" s="4" t="s">
        <v>83</v>
      </c>
      <c r="B2638" s="4" t="str">
        <f>"2020010302"</f>
        <v>2020010302</v>
      </c>
      <c r="C2638" s="5">
        <v>0</v>
      </c>
      <c r="D2638" s="6">
        <v>0</v>
      </c>
      <c r="E2638" s="7">
        <f t="shared" si="41"/>
        <v>0</v>
      </c>
      <c r="F2638" s="9" t="s">
        <v>8</v>
      </c>
    </row>
    <row r="2639" spans="1:6" ht="18" customHeight="1">
      <c r="A2639" s="4" t="s">
        <v>83</v>
      </c>
      <c r="B2639" s="4" t="str">
        <f>"2020012308"</f>
        <v>2020012308</v>
      </c>
      <c r="C2639" s="5">
        <v>0</v>
      </c>
      <c r="D2639" s="6">
        <v>0</v>
      </c>
      <c r="E2639" s="7">
        <f t="shared" si="41"/>
        <v>0</v>
      </c>
      <c r="F2639" s="9" t="s">
        <v>8</v>
      </c>
    </row>
    <row r="2640" spans="1:6" ht="18" customHeight="1">
      <c r="A2640" s="4" t="s">
        <v>83</v>
      </c>
      <c r="B2640" s="4" t="str">
        <f>"2020013719"</f>
        <v>2020013719</v>
      </c>
      <c r="C2640" s="5">
        <v>0</v>
      </c>
      <c r="D2640" s="6">
        <v>0</v>
      </c>
      <c r="E2640" s="7">
        <f t="shared" si="41"/>
        <v>0</v>
      </c>
      <c r="F2640" s="9" t="s">
        <v>8</v>
      </c>
    </row>
    <row r="2641" spans="1:6" ht="18" customHeight="1">
      <c r="A2641" s="4" t="s">
        <v>83</v>
      </c>
      <c r="B2641" s="4" t="str">
        <f>"2020022816"</f>
        <v>2020022816</v>
      </c>
      <c r="C2641" s="5">
        <v>0</v>
      </c>
      <c r="D2641" s="6">
        <v>0</v>
      </c>
      <c r="E2641" s="7">
        <f t="shared" si="41"/>
        <v>0</v>
      </c>
      <c r="F2641" s="8" t="s">
        <v>8</v>
      </c>
    </row>
    <row r="2642" spans="1:6" ht="18" customHeight="1">
      <c r="A2642" s="4" t="s">
        <v>83</v>
      </c>
      <c r="B2642" s="4" t="str">
        <f>"2020023005"</f>
        <v>2020023005</v>
      </c>
      <c r="C2642" s="5">
        <v>0</v>
      </c>
      <c r="D2642" s="6">
        <v>0</v>
      </c>
      <c r="E2642" s="7">
        <f t="shared" si="41"/>
        <v>0</v>
      </c>
      <c r="F2642" s="8" t="s">
        <v>8</v>
      </c>
    </row>
    <row r="2643" spans="1:6" ht="18" customHeight="1">
      <c r="A2643" s="4" t="s">
        <v>83</v>
      </c>
      <c r="B2643" s="4" t="str">
        <f>"2020032806"</f>
        <v>2020032806</v>
      </c>
      <c r="C2643" s="5">
        <v>0</v>
      </c>
      <c r="D2643" s="6">
        <v>0</v>
      </c>
      <c r="E2643" s="7">
        <f t="shared" si="41"/>
        <v>0</v>
      </c>
      <c r="F2643" s="8" t="s">
        <v>8</v>
      </c>
    </row>
    <row r="2644" spans="1:6" ht="18" customHeight="1">
      <c r="A2644" s="4" t="s">
        <v>83</v>
      </c>
      <c r="B2644" s="4" t="str">
        <f>"2020033805"</f>
        <v>2020033805</v>
      </c>
      <c r="C2644" s="5">
        <v>0</v>
      </c>
      <c r="D2644" s="6">
        <v>0</v>
      </c>
      <c r="E2644" s="7">
        <f t="shared" si="41"/>
        <v>0</v>
      </c>
      <c r="F2644" s="8" t="s">
        <v>8</v>
      </c>
    </row>
    <row r="2645" spans="1:6" ht="18" customHeight="1">
      <c r="A2645" s="4" t="s">
        <v>83</v>
      </c>
      <c r="B2645" s="4" t="str">
        <f>"2020040706"</f>
        <v>2020040706</v>
      </c>
      <c r="C2645" s="5">
        <v>0</v>
      </c>
      <c r="D2645" s="6">
        <v>0</v>
      </c>
      <c r="E2645" s="7">
        <f t="shared" si="41"/>
        <v>0</v>
      </c>
      <c r="F2645" s="8" t="s">
        <v>8</v>
      </c>
    </row>
    <row r="2646" spans="1:6" ht="18" customHeight="1">
      <c r="A2646" s="4" t="s">
        <v>83</v>
      </c>
      <c r="B2646" s="4" t="str">
        <f>"2020042701"</f>
        <v>2020042701</v>
      </c>
      <c r="C2646" s="5">
        <v>0</v>
      </c>
      <c r="D2646" s="6">
        <v>0</v>
      </c>
      <c r="E2646" s="7">
        <f t="shared" si="41"/>
        <v>0</v>
      </c>
      <c r="F2646" s="8" t="s">
        <v>8</v>
      </c>
    </row>
    <row r="2647" spans="1:6" ht="18" customHeight="1">
      <c r="A2647" s="4" t="s">
        <v>83</v>
      </c>
      <c r="B2647" s="4" t="str">
        <f>"2020043203"</f>
        <v>2020043203</v>
      </c>
      <c r="C2647" s="5">
        <v>0</v>
      </c>
      <c r="D2647" s="6">
        <v>0</v>
      </c>
      <c r="E2647" s="7">
        <f t="shared" si="41"/>
        <v>0</v>
      </c>
      <c r="F2647" s="8" t="s">
        <v>8</v>
      </c>
    </row>
    <row r="2648" spans="1:6" ht="18" customHeight="1">
      <c r="A2648" s="4" t="s">
        <v>83</v>
      </c>
      <c r="B2648" s="4" t="str">
        <f>"2020047602"</f>
        <v>2020047602</v>
      </c>
      <c r="C2648" s="5">
        <v>0</v>
      </c>
      <c r="D2648" s="6">
        <v>0</v>
      </c>
      <c r="E2648" s="7">
        <f t="shared" si="41"/>
        <v>0</v>
      </c>
      <c r="F2648" s="8" t="s">
        <v>8</v>
      </c>
    </row>
    <row r="2649" spans="1:6" ht="18" customHeight="1">
      <c r="A2649" s="4" t="s">
        <v>84</v>
      </c>
      <c r="B2649" s="4" t="str">
        <f>"2020024306"</f>
        <v>2020024306</v>
      </c>
      <c r="C2649" s="5">
        <v>74.2</v>
      </c>
      <c r="D2649" s="6">
        <v>85</v>
      </c>
      <c r="E2649" s="7">
        <f t="shared" si="41"/>
        <v>159.19999999999999</v>
      </c>
      <c r="F2649" s="8"/>
    </row>
    <row r="2650" spans="1:6" ht="18" customHeight="1">
      <c r="A2650" s="4" t="s">
        <v>84</v>
      </c>
      <c r="B2650" s="4" t="str">
        <f>"2020041110"</f>
        <v>2020041110</v>
      </c>
      <c r="C2650" s="5">
        <v>66.900000000000006</v>
      </c>
      <c r="D2650" s="6">
        <v>62.5</v>
      </c>
      <c r="E2650" s="7">
        <f t="shared" si="41"/>
        <v>129.4</v>
      </c>
      <c r="F2650" s="8"/>
    </row>
    <row r="2651" spans="1:6" ht="18" customHeight="1">
      <c r="A2651" s="4" t="s">
        <v>84</v>
      </c>
      <c r="B2651" s="4" t="str">
        <f>"2020010509"</f>
        <v>2020010509</v>
      </c>
      <c r="C2651" s="5">
        <v>68.5</v>
      </c>
      <c r="D2651" s="6">
        <v>58.5</v>
      </c>
      <c r="E2651" s="7">
        <f t="shared" si="41"/>
        <v>127</v>
      </c>
      <c r="F2651" s="8"/>
    </row>
    <row r="2652" spans="1:6" ht="18" customHeight="1">
      <c r="A2652" s="4" t="s">
        <v>84</v>
      </c>
      <c r="B2652" s="4" t="str">
        <f>"2020044208"</f>
        <v>2020044208</v>
      </c>
      <c r="C2652" s="5">
        <v>59.8</v>
      </c>
      <c r="D2652" s="6">
        <v>66</v>
      </c>
      <c r="E2652" s="7">
        <f t="shared" si="41"/>
        <v>125.8</v>
      </c>
      <c r="F2652" s="8"/>
    </row>
    <row r="2653" spans="1:6" ht="18" customHeight="1">
      <c r="A2653" s="4" t="s">
        <v>84</v>
      </c>
      <c r="B2653" s="4" t="str">
        <f>"2020010727"</f>
        <v>2020010727</v>
      </c>
      <c r="C2653" s="5">
        <v>0</v>
      </c>
      <c r="D2653" s="6">
        <v>0</v>
      </c>
      <c r="E2653" s="7">
        <f t="shared" si="41"/>
        <v>0</v>
      </c>
      <c r="F2653" s="9" t="s">
        <v>8</v>
      </c>
    </row>
    <row r="2654" spans="1:6" ht="18" customHeight="1">
      <c r="A2654" s="4" t="s">
        <v>84</v>
      </c>
      <c r="B2654" s="4" t="str">
        <f>"2020021126"</f>
        <v>2020021126</v>
      </c>
      <c r="C2654" s="5">
        <v>0</v>
      </c>
      <c r="D2654" s="6">
        <v>0</v>
      </c>
      <c r="E2654" s="7">
        <f t="shared" si="41"/>
        <v>0</v>
      </c>
      <c r="F2654" s="8" t="s">
        <v>8</v>
      </c>
    </row>
    <row r="2655" spans="1:6" ht="18" customHeight="1">
      <c r="A2655" s="4" t="s">
        <v>84</v>
      </c>
      <c r="B2655" s="4" t="str">
        <f>"2020022728"</f>
        <v>2020022728</v>
      </c>
      <c r="C2655" s="5">
        <v>0</v>
      </c>
      <c r="D2655" s="6">
        <v>0</v>
      </c>
      <c r="E2655" s="7">
        <f t="shared" si="41"/>
        <v>0</v>
      </c>
      <c r="F2655" s="8" t="s">
        <v>8</v>
      </c>
    </row>
    <row r="2656" spans="1:6" ht="18" customHeight="1">
      <c r="A2656" s="4" t="s">
        <v>84</v>
      </c>
      <c r="B2656" s="4" t="str">
        <f>"2020033214"</f>
        <v>2020033214</v>
      </c>
      <c r="C2656" s="5">
        <v>0</v>
      </c>
      <c r="D2656" s="6">
        <v>0</v>
      </c>
      <c r="E2656" s="7">
        <f t="shared" si="41"/>
        <v>0</v>
      </c>
      <c r="F2656" s="8" t="s">
        <v>8</v>
      </c>
    </row>
    <row r="2657" spans="1:6" ht="18" customHeight="1">
      <c r="A2657" s="4" t="s">
        <v>84</v>
      </c>
      <c r="B2657" s="4" t="str">
        <f>"2020044112"</f>
        <v>2020044112</v>
      </c>
      <c r="C2657" s="5">
        <v>0</v>
      </c>
      <c r="D2657" s="6">
        <v>0</v>
      </c>
      <c r="E2657" s="7">
        <f t="shared" si="41"/>
        <v>0</v>
      </c>
      <c r="F2657" s="8" t="s">
        <v>8</v>
      </c>
    </row>
    <row r="2658" spans="1:6" ht="18" customHeight="1">
      <c r="A2658" s="4" t="s">
        <v>84</v>
      </c>
      <c r="B2658" s="4" t="str">
        <f>"2020045706"</f>
        <v>2020045706</v>
      </c>
      <c r="C2658" s="5">
        <v>0</v>
      </c>
      <c r="D2658" s="6">
        <v>0</v>
      </c>
      <c r="E2658" s="7">
        <f t="shared" si="41"/>
        <v>0</v>
      </c>
      <c r="F2658" s="8" t="s">
        <v>8</v>
      </c>
    </row>
    <row r="2659" spans="1:6" ht="18" customHeight="1">
      <c r="A2659" s="4" t="s">
        <v>85</v>
      </c>
      <c r="B2659" s="4" t="str">
        <f>"2020012611"</f>
        <v>2020012611</v>
      </c>
      <c r="C2659" s="5">
        <v>64.5</v>
      </c>
      <c r="D2659" s="6">
        <v>69</v>
      </c>
      <c r="E2659" s="7">
        <f t="shared" si="41"/>
        <v>133.5</v>
      </c>
      <c r="F2659" s="8"/>
    </row>
    <row r="2660" spans="1:6" ht="18" customHeight="1">
      <c r="A2660" s="4" t="s">
        <v>85</v>
      </c>
      <c r="B2660" s="4" t="str">
        <f>"2020033718"</f>
        <v>2020033718</v>
      </c>
      <c r="C2660" s="5">
        <v>65</v>
      </c>
      <c r="D2660" s="6">
        <v>68</v>
      </c>
      <c r="E2660" s="7">
        <f t="shared" si="41"/>
        <v>133</v>
      </c>
      <c r="F2660" s="8"/>
    </row>
    <row r="2661" spans="1:6" ht="18" customHeight="1">
      <c r="A2661" s="4" t="s">
        <v>85</v>
      </c>
      <c r="B2661" s="4" t="str">
        <f>"2020012803"</f>
        <v>2020012803</v>
      </c>
      <c r="C2661" s="5">
        <v>65.2</v>
      </c>
      <c r="D2661" s="6">
        <v>67</v>
      </c>
      <c r="E2661" s="7">
        <f t="shared" si="41"/>
        <v>132.19999999999999</v>
      </c>
      <c r="F2661" s="8"/>
    </row>
    <row r="2662" spans="1:6" ht="18" customHeight="1">
      <c r="A2662" s="4" t="s">
        <v>85</v>
      </c>
      <c r="B2662" s="4" t="str">
        <f>"2020033317"</f>
        <v>2020033317</v>
      </c>
      <c r="C2662" s="5">
        <v>68.3</v>
      </c>
      <c r="D2662" s="6">
        <v>63</v>
      </c>
      <c r="E2662" s="7">
        <f t="shared" si="41"/>
        <v>131.30000000000001</v>
      </c>
      <c r="F2662" s="8"/>
    </row>
    <row r="2663" spans="1:6" ht="18" customHeight="1">
      <c r="A2663" s="4" t="s">
        <v>85</v>
      </c>
      <c r="B2663" s="4" t="str">
        <f>"2020024713"</f>
        <v>2020024713</v>
      </c>
      <c r="C2663" s="5">
        <v>68.900000000000006</v>
      </c>
      <c r="D2663" s="6">
        <v>62</v>
      </c>
      <c r="E2663" s="7">
        <f t="shared" si="41"/>
        <v>130.9</v>
      </c>
      <c r="F2663" s="8"/>
    </row>
    <row r="2664" spans="1:6" ht="18" customHeight="1">
      <c r="A2664" s="4" t="s">
        <v>85</v>
      </c>
      <c r="B2664" s="4" t="str">
        <f>"2020024711"</f>
        <v>2020024711</v>
      </c>
      <c r="C2664" s="5">
        <v>65.400000000000006</v>
      </c>
      <c r="D2664" s="6">
        <v>64</v>
      </c>
      <c r="E2664" s="7">
        <f t="shared" si="41"/>
        <v>129.4</v>
      </c>
      <c r="F2664" s="8"/>
    </row>
    <row r="2665" spans="1:6" ht="18" customHeight="1">
      <c r="A2665" s="4" t="s">
        <v>85</v>
      </c>
      <c r="B2665" s="4" t="str">
        <f>"2020030415"</f>
        <v>2020030415</v>
      </c>
      <c r="C2665" s="5">
        <v>63.3</v>
      </c>
      <c r="D2665" s="6">
        <v>66</v>
      </c>
      <c r="E2665" s="7">
        <f t="shared" si="41"/>
        <v>129.30000000000001</v>
      </c>
      <c r="F2665" s="8"/>
    </row>
    <row r="2666" spans="1:6" ht="18" customHeight="1">
      <c r="A2666" s="4" t="s">
        <v>85</v>
      </c>
      <c r="B2666" s="4" t="str">
        <f>"2020012707"</f>
        <v>2020012707</v>
      </c>
      <c r="C2666" s="5">
        <v>60.7</v>
      </c>
      <c r="D2666" s="6">
        <v>68</v>
      </c>
      <c r="E2666" s="7">
        <f t="shared" si="41"/>
        <v>128.69999999999999</v>
      </c>
      <c r="F2666" s="8"/>
    </row>
    <row r="2667" spans="1:6" ht="18" customHeight="1">
      <c r="A2667" s="4" t="s">
        <v>85</v>
      </c>
      <c r="B2667" s="4" t="str">
        <f>"2020045518"</f>
        <v>2020045518</v>
      </c>
      <c r="C2667" s="5">
        <v>69.5</v>
      </c>
      <c r="D2667" s="6">
        <v>56</v>
      </c>
      <c r="E2667" s="7">
        <f t="shared" si="41"/>
        <v>125.5</v>
      </c>
      <c r="F2667" s="8"/>
    </row>
    <row r="2668" spans="1:6" ht="18" customHeight="1">
      <c r="A2668" s="4" t="s">
        <v>85</v>
      </c>
      <c r="B2668" s="4" t="str">
        <f>"2020041114"</f>
        <v>2020041114</v>
      </c>
      <c r="C2668" s="5">
        <v>63.4</v>
      </c>
      <c r="D2668" s="6">
        <v>62</v>
      </c>
      <c r="E2668" s="7">
        <f t="shared" si="41"/>
        <v>125.4</v>
      </c>
      <c r="F2668" s="8"/>
    </row>
    <row r="2669" spans="1:6" ht="18" customHeight="1">
      <c r="A2669" s="4" t="s">
        <v>85</v>
      </c>
      <c r="B2669" s="4" t="str">
        <f>"2020047214"</f>
        <v>2020047214</v>
      </c>
      <c r="C2669" s="5">
        <v>58.2</v>
      </c>
      <c r="D2669" s="6">
        <v>66.5</v>
      </c>
      <c r="E2669" s="7">
        <f t="shared" si="41"/>
        <v>124.7</v>
      </c>
      <c r="F2669" s="8"/>
    </row>
    <row r="2670" spans="1:6" ht="18" customHeight="1">
      <c r="A2670" s="4" t="s">
        <v>85</v>
      </c>
      <c r="B2670" s="4" t="str">
        <f>"2020040130"</f>
        <v>2020040130</v>
      </c>
      <c r="C2670" s="5">
        <v>64.7</v>
      </c>
      <c r="D2670" s="6">
        <v>59.5</v>
      </c>
      <c r="E2670" s="7">
        <f t="shared" si="41"/>
        <v>124.2</v>
      </c>
      <c r="F2670" s="8"/>
    </row>
    <row r="2671" spans="1:6" ht="18" customHeight="1">
      <c r="A2671" s="4" t="s">
        <v>85</v>
      </c>
      <c r="B2671" s="4" t="str">
        <f>"2020013329"</f>
        <v>2020013329</v>
      </c>
      <c r="C2671" s="5">
        <v>59.1</v>
      </c>
      <c r="D2671" s="6">
        <v>64</v>
      </c>
      <c r="E2671" s="7">
        <f t="shared" si="41"/>
        <v>123.1</v>
      </c>
      <c r="F2671" s="8"/>
    </row>
    <row r="2672" spans="1:6" ht="18" customHeight="1">
      <c r="A2672" s="4" t="s">
        <v>85</v>
      </c>
      <c r="B2672" s="4" t="str">
        <f>"2020044722"</f>
        <v>2020044722</v>
      </c>
      <c r="C2672" s="5">
        <v>68.400000000000006</v>
      </c>
      <c r="D2672" s="6">
        <v>54</v>
      </c>
      <c r="E2672" s="7">
        <f t="shared" si="41"/>
        <v>122.4</v>
      </c>
      <c r="F2672" s="8"/>
    </row>
    <row r="2673" spans="1:6" ht="18" customHeight="1">
      <c r="A2673" s="4" t="s">
        <v>85</v>
      </c>
      <c r="B2673" s="4" t="str">
        <f>"2020012203"</f>
        <v>2020012203</v>
      </c>
      <c r="C2673" s="5">
        <v>68.900000000000006</v>
      </c>
      <c r="D2673" s="6">
        <v>53</v>
      </c>
      <c r="E2673" s="7">
        <f t="shared" si="41"/>
        <v>121.9</v>
      </c>
      <c r="F2673" s="8"/>
    </row>
    <row r="2674" spans="1:6" ht="18" customHeight="1">
      <c r="A2674" s="4" t="s">
        <v>85</v>
      </c>
      <c r="B2674" s="4" t="str">
        <f>"2020010609"</f>
        <v>2020010609</v>
      </c>
      <c r="C2674" s="5">
        <v>60.8</v>
      </c>
      <c r="D2674" s="6">
        <v>60.5</v>
      </c>
      <c r="E2674" s="7">
        <f t="shared" si="41"/>
        <v>121.3</v>
      </c>
      <c r="F2674" s="8"/>
    </row>
    <row r="2675" spans="1:6" ht="18" customHeight="1">
      <c r="A2675" s="4" t="s">
        <v>85</v>
      </c>
      <c r="B2675" s="4" t="str">
        <f>"2020021102"</f>
        <v>2020021102</v>
      </c>
      <c r="C2675" s="5">
        <v>58.1</v>
      </c>
      <c r="D2675" s="6">
        <v>63</v>
      </c>
      <c r="E2675" s="7">
        <f t="shared" si="41"/>
        <v>121.1</v>
      </c>
      <c r="F2675" s="8"/>
    </row>
    <row r="2676" spans="1:6" ht="18" customHeight="1">
      <c r="A2676" s="4" t="s">
        <v>85</v>
      </c>
      <c r="B2676" s="4" t="str">
        <f>"2020010624"</f>
        <v>2020010624</v>
      </c>
      <c r="C2676" s="5">
        <v>64.3</v>
      </c>
      <c r="D2676" s="6">
        <v>55</v>
      </c>
      <c r="E2676" s="7">
        <f t="shared" si="41"/>
        <v>119.3</v>
      </c>
      <c r="F2676" s="8"/>
    </row>
    <row r="2677" spans="1:6" ht="18" customHeight="1">
      <c r="A2677" s="4" t="s">
        <v>85</v>
      </c>
      <c r="B2677" s="4" t="str">
        <f>"2020021416"</f>
        <v>2020021416</v>
      </c>
      <c r="C2677" s="5">
        <v>62.3</v>
      </c>
      <c r="D2677" s="6">
        <v>57</v>
      </c>
      <c r="E2677" s="7">
        <f t="shared" si="41"/>
        <v>119.3</v>
      </c>
      <c r="F2677" s="8"/>
    </row>
    <row r="2678" spans="1:6" ht="18" customHeight="1">
      <c r="A2678" s="4" t="s">
        <v>85</v>
      </c>
      <c r="B2678" s="4" t="str">
        <f>"2020024402"</f>
        <v>2020024402</v>
      </c>
      <c r="C2678" s="5">
        <v>56.3</v>
      </c>
      <c r="D2678" s="6">
        <v>62.5</v>
      </c>
      <c r="E2678" s="7">
        <f t="shared" si="41"/>
        <v>118.8</v>
      </c>
      <c r="F2678" s="8"/>
    </row>
    <row r="2679" spans="1:6" ht="18" customHeight="1">
      <c r="A2679" s="4" t="s">
        <v>85</v>
      </c>
      <c r="B2679" s="4" t="str">
        <f>"2020022114"</f>
        <v>2020022114</v>
      </c>
      <c r="C2679" s="5">
        <v>60.2</v>
      </c>
      <c r="D2679" s="6">
        <v>58.5</v>
      </c>
      <c r="E2679" s="7">
        <f t="shared" si="41"/>
        <v>118.7</v>
      </c>
      <c r="F2679" s="8"/>
    </row>
    <row r="2680" spans="1:6" ht="18" customHeight="1">
      <c r="A2680" s="4" t="s">
        <v>85</v>
      </c>
      <c r="B2680" s="4" t="str">
        <f>"2020021530"</f>
        <v>2020021530</v>
      </c>
      <c r="C2680" s="5">
        <v>61.9</v>
      </c>
      <c r="D2680" s="6">
        <v>56.5</v>
      </c>
      <c r="E2680" s="7">
        <f t="shared" si="41"/>
        <v>118.4</v>
      </c>
      <c r="F2680" s="8"/>
    </row>
    <row r="2681" spans="1:6" ht="18" customHeight="1">
      <c r="A2681" s="4" t="s">
        <v>85</v>
      </c>
      <c r="B2681" s="4" t="str">
        <f>"2020041206"</f>
        <v>2020041206</v>
      </c>
      <c r="C2681" s="5">
        <v>55.9</v>
      </c>
      <c r="D2681" s="6">
        <v>62.5</v>
      </c>
      <c r="E2681" s="7">
        <f t="shared" si="41"/>
        <v>118.4</v>
      </c>
      <c r="F2681" s="8"/>
    </row>
    <row r="2682" spans="1:6" ht="18" customHeight="1">
      <c r="A2682" s="4" t="s">
        <v>85</v>
      </c>
      <c r="B2682" s="4" t="str">
        <f>"2020040406"</f>
        <v>2020040406</v>
      </c>
      <c r="C2682" s="5">
        <v>62.2</v>
      </c>
      <c r="D2682" s="6">
        <v>56</v>
      </c>
      <c r="E2682" s="7">
        <f t="shared" si="41"/>
        <v>118.2</v>
      </c>
      <c r="F2682" s="8"/>
    </row>
    <row r="2683" spans="1:6" ht="18" customHeight="1">
      <c r="A2683" s="4" t="s">
        <v>85</v>
      </c>
      <c r="B2683" s="4" t="str">
        <f>"2020024122"</f>
        <v>2020024122</v>
      </c>
      <c r="C2683" s="5">
        <v>64.400000000000006</v>
      </c>
      <c r="D2683" s="6">
        <v>53.5</v>
      </c>
      <c r="E2683" s="7">
        <f t="shared" si="41"/>
        <v>117.9</v>
      </c>
      <c r="F2683" s="8"/>
    </row>
    <row r="2684" spans="1:6" ht="18" customHeight="1">
      <c r="A2684" s="4" t="s">
        <v>85</v>
      </c>
      <c r="B2684" s="4" t="str">
        <f>"2020011921"</f>
        <v>2020011921</v>
      </c>
      <c r="C2684" s="5">
        <v>61.8</v>
      </c>
      <c r="D2684" s="6">
        <v>56</v>
      </c>
      <c r="E2684" s="7">
        <f t="shared" si="41"/>
        <v>117.8</v>
      </c>
      <c r="F2684" s="8"/>
    </row>
    <row r="2685" spans="1:6" ht="18" customHeight="1">
      <c r="A2685" s="4" t="s">
        <v>85</v>
      </c>
      <c r="B2685" s="4" t="str">
        <f>"2020010814"</f>
        <v>2020010814</v>
      </c>
      <c r="C2685" s="5">
        <v>58.5</v>
      </c>
      <c r="D2685" s="6">
        <v>59</v>
      </c>
      <c r="E2685" s="7">
        <f t="shared" si="41"/>
        <v>117.5</v>
      </c>
      <c r="F2685" s="8"/>
    </row>
    <row r="2686" spans="1:6" ht="18" customHeight="1">
      <c r="A2686" s="4" t="s">
        <v>85</v>
      </c>
      <c r="B2686" s="4" t="str">
        <f>"2020041415"</f>
        <v>2020041415</v>
      </c>
      <c r="C2686" s="5">
        <v>64</v>
      </c>
      <c r="D2686" s="6">
        <v>53</v>
      </c>
      <c r="E2686" s="7">
        <f t="shared" si="41"/>
        <v>117</v>
      </c>
      <c r="F2686" s="8"/>
    </row>
    <row r="2687" spans="1:6" ht="18" customHeight="1">
      <c r="A2687" s="4" t="s">
        <v>85</v>
      </c>
      <c r="B2687" s="4" t="str">
        <f>"2020044130"</f>
        <v>2020044130</v>
      </c>
      <c r="C2687" s="5">
        <v>63.1</v>
      </c>
      <c r="D2687" s="6">
        <v>53.5</v>
      </c>
      <c r="E2687" s="7">
        <f t="shared" si="41"/>
        <v>116.6</v>
      </c>
      <c r="F2687" s="8"/>
    </row>
    <row r="2688" spans="1:6" ht="18" customHeight="1">
      <c r="A2688" s="4" t="s">
        <v>85</v>
      </c>
      <c r="B2688" s="4" t="str">
        <f>"2020031825"</f>
        <v>2020031825</v>
      </c>
      <c r="C2688" s="5">
        <v>63</v>
      </c>
      <c r="D2688" s="6">
        <v>53</v>
      </c>
      <c r="E2688" s="7">
        <f t="shared" si="41"/>
        <v>116</v>
      </c>
      <c r="F2688" s="8"/>
    </row>
    <row r="2689" spans="1:6" ht="18" customHeight="1">
      <c r="A2689" s="4" t="s">
        <v>85</v>
      </c>
      <c r="B2689" s="4" t="str">
        <f>"2020033725"</f>
        <v>2020033725</v>
      </c>
      <c r="C2689" s="5">
        <v>62.4</v>
      </c>
      <c r="D2689" s="6">
        <v>53</v>
      </c>
      <c r="E2689" s="7">
        <f t="shared" si="41"/>
        <v>115.4</v>
      </c>
      <c r="F2689" s="8"/>
    </row>
    <row r="2690" spans="1:6" ht="18" customHeight="1">
      <c r="A2690" s="4" t="s">
        <v>85</v>
      </c>
      <c r="B2690" s="4" t="str">
        <f>"2020020325"</f>
        <v>2020020325</v>
      </c>
      <c r="C2690" s="5">
        <v>58.4</v>
      </c>
      <c r="D2690" s="6">
        <v>57</v>
      </c>
      <c r="E2690" s="7">
        <f t="shared" si="41"/>
        <v>115.4</v>
      </c>
      <c r="F2690" s="8"/>
    </row>
    <row r="2691" spans="1:6" ht="18" customHeight="1">
      <c r="A2691" s="4" t="s">
        <v>85</v>
      </c>
      <c r="B2691" s="4" t="str">
        <f>"2020044205"</f>
        <v>2020044205</v>
      </c>
      <c r="C2691" s="5">
        <v>62.5</v>
      </c>
      <c r="D2691" s="6">
        <v>52.5</v>
      </c>
      <c r="E2691" s="7">
        <f t="shared" ref="E2691:E2754" si="42">SUM(C2691:D2691)</f>
        <v>115</v>
      </c>
      <c r="F2691" s="8"/>
    </row>
    <row r="2692" spans="1:6" ht="18" customHeight="1">
      <c r="A2692" s="4" t="s">
        <v>85</v>
      </c>
      <c r="B2692" s="4" t="str">
        <f>"2020012927"</f>
        <v>2020012927</v>
      </c>
      <c r="C2692" s="5">
        <v>63.1</v>
      </c>
      <c r="D2692" s="6">
        <v>51</v>
      </c>
      <c r="E2692" s="7">
        <f t="shared" si="42"/>
        <v>114.1</v>
      </c>
      <c r="F2692" s="8"/>
    </row>
    <row r="2693" spans="1:6" ht="18" customHeight="1">
      <c r="A2693" s="4" t="s">
        <v>85</v>
      </c>
      <c r="B2693" s="4" t="str">
        <f>"2020045308"</f>
        <v>2020045308</v>
      </c>
      <c r="C2693" s="5">
        <v>68.3</v>
      </c>
      <c r="D2693" s="6">
        <v>45.5</v>
      </c>
      <c r="E2693" s="7">
        <f t="shared" si="42"/>
        <v>113.8</v>
      </c>
      <c r="F2693" s="8"/>
    </row>
    <row r="2694" spans="1:6" ht="18" customHeight="1">
      <c r="A2694" s="4" t="s">
        <v>85</v>
      </c>
      <c r="B2694" s="4" t="str">
        <f>"2020044911"</f>
        <v>2020044911</v>
      </c>
      <c r="C2694" s="5">
        <v>59.2</v>
      </c>
      <c r="D2694" s="6">
        <v>54.5</v>
      </c>
      <c r="E2694" s="7">
        <f t="shared" si="42"/>
        <v>113.7</v>
      </c>
      <c r="F2694" s="8"/>
    </row>
    <row r="2695" spans="1:6" ht="18" customHeight="1">
      <c r="A2695" s="4" t="s">
        <v>85</v>
      </c>
      <c r="B2695" s="4" t="str">
        <f>"2020013906"</f>
        <v>2020013906</v>
      </c>
      <c r="C2695" s="5">
        <v>56.2</v>
      </c>
      <c r="D2695" s="6">
        <v>57</v>
      </c>
      <c r="E2695" s="7">
        <f t="shared" si="42"/>
        <v>113.2</v>
      </c>
      <c r="F2695" s="8"/>
    </row>
    <row r="2696" spans="1:6" ht="18" customHeight="1">
      <c r="A2696" s="4" t="s">
        <v>85</v>
      </c>
      <c r="B2696" s="4" t="str">
        <f>"2020012925"</f>
        <v>2020012925</v>
      </c>
      <c r="C2696" s="5">
        <v>60.5</v>
      </c>
      <c r="D2696" s="6">
        <v>52.5</v>
      </c>
      <c r="E2696" s="7">
        <f t="shared" si="42"/>
        <v>113</v>
      </c>
      <c r="F2696" s="8"/>
    </row>
    <row r="2697" spans="1:6" ht="18" customHeight="1">
      <c r="A2697" s="4" t="s">
        <v>85</v>
      </c>
      <c r="B2697" s="4" t="str">
        <f>"2020021329"</f>
        <v>2020021329</v>
      </c>
      <c r="C2697" s="5">
        <v>56.7</v>
      </c>
      <c r="D2697" s="6">
        <v>56</v>
      </c>
      <c r="E2697" s="7">
        <f t="shared" si="42"/>
        <v>112.7</v>
      </c>
      <c r="F2697" s="8"/>
    </row>
    <row r="2698" spans="1:6" ht="18" customHeight="1">
      <c r="A2698" s="4" t="s">
        <v>85</v>
      </c>
      <c r="B2698" s="4" t="str">
        <f>"2020020518"</f>
        <v>2020020518</v>
      </c>
      <c r="C2698" s="5">
        <v>59.3</v>
      </c>
      <c r="D2698" s="6">
        <v>53</v>
      </c>
      <c r="E2698" s="7">
        <f t="shared" si="42"/>
        <v>112.3</v>
      </c>
      <c r="F2698" s="8"/>
    </row>
    <row r="2699" spans="1:6" ht="18" customHeight="1">
      <c r="A2699" s="4" t="s">
        <v>85</v>
      </c>
      <c r="B2699" s="4" t="str">
        <f>"2020010116"</f>
        <v>2020010116</v>
      </c>
      <c r="C2699" s="5">
        <v>57.4</v>
      </c>
      <c r="D2699" s="6">
        <v>54.5</v>
      </c>
      <c r="E2699" s="7">
        <f t="shared" si="42"/>
        <v>111.9</v>
      </c>
      <c r="F2699" s="8"/>
    </row>
    <row r="2700" spans="1:6" ht="18" customHeight="1">
      <c r="A2700" s="4" t="s">
        <v>85</v>
      </c>
      <c r="B2700" s="4" t="str">
        <f>"2020046722"</f>
        <v>2020046722</v>
      </c>
      <c r="C2700" s="5">
        <v>58.5</v>
      </c>
      <c r="D2700" s="6">
        <v>52.5</v>
      </c>
      <c r="E2700" s="7">
        <f t="shared" si="42"/>
        <v>111</v>
      </c>
      <c r="F2700" s="8"/>
    </row>
    <row r="2701" spans="1:6" ht="18" customHeight="1">
      <c r="A2701" s="4" t="s">
        <v>85</v>
      </c>
      <c r="B2701" s="4" t="str">
        <f>"2020013309"</f>
        <v>2020013309</v>
      </c>
      <c r="C2701" s="5">
        <v>58.9</v>
      </c>
      <c r="D2701" s="6">
        <v>52</v>
      </c>
      <c r="E2701" s="7">
        <f t="shared" si="42"/>
        <v>110.9</v>
      </c>
      <c r="F2701" s="8"/>
    </row>
    <row r="2702" spans="1:6" ht="18" customHeight="1">
      <c r="A2702" s="4" t="s">
        <v>85</v>
      </c>
      <c r="B2702" s="4" t="str">
        <f>"2020011026"</f>
        <v>2020011026</v>
      </c>
      <c r="C2702" s="5">
        <v>59.8</v>
      </c>
      <c r="D2702" s="6">
        <v>51</v>
      </c>
      <c r="E2702" s="7">
        <f t="shared" si="42"/>
        <v>110.8</v>
      </c>
      <c r="F2702" s="8"/>
    </row>
    <row r="2703" spans="1:6" ht="18" customHeight="1">
      <c r="A2703" s="4" t="s">
        <v>85</v>
      </c>
      <c r="B2703" s="4" t="str">
        <f>"2020022715"</f>
        <v>2020022715</v>
      </c>
      <c r="C2703" s="5">
        <v>55.3</v>
      </c>
      <c r="D2703" s="6">
        <v>55.5</v>
      </c>
      <c r="E2703" s="7">
        <f t="shared" si="42"/>
        <v>110.8</v>
      </c>
      <c r="F2703" s="8"/>
    </row>
    <row r="2704" spans="1:6" ht="18" customHeight="1">
      <c r="A2704" s="4" t="s">
        <v>85</v>
      </c>
      <c r="B2704" s="4" t="str">
        <f>"2020034026"</f>
        <v>2020034026</v>
      </c>
      <c r="C2704" s="5">
        <v>57.7</v>
      </c>
      <c r="D2704" s="6">
        <v>53</v>
      </c>
      <c r="E2704" s="7">
        <f t="shared" si="42"/>
        <v>110.7</v>
      </c>
      <c r="F2704" s="8"/>
    </row>
    <row r="2705" spans="1:6" ht="18" customHeight="1">
      <c r="A2705" s="4" t="s">
        <v>85</v>
      </c>
      <c r="B2705" s="4" t="str">
        <f>"2020040501"</f>
        <v>2020040501</v>
      </c>
      <c r="C2705" s="5">
        <v>60.9</v>
      </c>
      <c r="D2705" s="6">
        <v>49.5</v>
      </c>
      <c r="E2705" s="7">
        <f t="shared" si="42"/>
        <v>110.4</v>
      </c>
      <c r="F2705" s="8"/>
    </row>
    <row r="2706" spans="1:6" ht="18" customHeight="1">
      <c r="A2706" s="4" t="s">
        <v>85</v>
      </c>
      <c r="B2706" s="4" t="str">
        <f>"2020013927"</f>
        <v>2020013927</v>
      </c>
      <c r="C2706" s="5">
        <v>57.4</v>
      </c>
      <c r="D2706" s="6">
        <v>52</v>
      </c>
      <c r="E2706" s="7">
        <f t="shared" si="42"/>
        <v>109.4</v>
      </c>
      <c r="F2706" s="8"/>
    </row>
    <row r="2707" spans="1:6" ht="18" customHeight="1">
      <c r="A2707" s="4" t="s">
        <v>85</v>
      </c>
      <c r="B2707" s="4" t="str">
        <f>"2020024412"</f>
        <v>2020024412</v>
      </c>
      <c r="C2707" s="5">
        <v>56.2</v>
      </c>
      <c r="D2707" s="6">
        <v>52.5</v>
      </c>
      <c r="E2707" s="7">
        <f t="shared" si="42"/>
        <v>108.7</v>
      </c>
      <c r="F2707" s="8"/>
    </row>
    <row r="2708" spans="1:6" ht="18" customHeight="1">
      <c r="A2708" s="4" t="s">
        <v>85</v>
      </c>
      <c r="B2708" s="4" t="str">
        <f>"2020041508"</f>
        <v>2020041508</v>
      </c>
      <c r="C2708" s="5">
        <v>61</v>
      </c>
      <c r="D2708" s="6">
        <v>47.5</v>
      </c>
      <c r="E2708" s="7">
        <f t="shared" si="42"/>
        <v>108.5</v>
      </c>
      <c r="F2708" s="8"/>
    </row>
    <row r="2709" spans="1:6" ht="18" customHeight="1">
      <c r="A2709" s="4" t="s">
        <v>85</v>
      </c>
      <c r="B2709" s="4" t="str">
        <f>"2020013223"</f>
        <v>2020013223</v>
      </c>
      <c r="C2709" s="5">
        <v>57.2</v>
      </c>
      <c r="D2709" s="6">
        <v>51</v>
      </c>
      <c r="E2709" s="7">
        <f t="shared" si="42"/>
        <v>108.2</v>
      </c>
      <c r="F2709" s="8"/>
    </row>
    <row r="2710" spans="1:6" ht="18" customHeight="1">
      <c r="A2710" s="4" t="s">
        <v>85</v>
      </c>
      <c r="B2710" s="4" t="str">
        <f>"2020042327"</f>
        <v>2020042327</v>
      </c>
      <c r="C2710" s="5">
        <v>66.599999999999994</v>
      </c>
      <c r="D2710" s="6">
        <v>41.5</v>
      </c>
      <c r="E2710" s="7">
        <f t="shared" si="42"/>
        <v>108.1</v>
      </c>
      <c r="F2710" s="8"/>
    </row>
    <row r="2711" spans="1:6" ht="18" customHeight="1">
      <c r="A2711" s="4" t="s">
        <v>85</v>
      </c>
      <c r="B2711" s="4" t="str">
        <f>"2020010629"</f>
        <v>2020010629</v>
      </c>
      <c r="C2711" s="5">
        <v>49.6</v>
      </c>
      <c r="D2711" s="6">
        <v>58</v>
      </c>
      <c r="E2711" s="7">
        <f t="shared" si="42"/>
        <v>107.6</v>
      </c>
      <c r="F2711" s="8"/>
    </row>
    <row r="2712" spans="1:6" ht="18" customHeight="1">
      <c r="A2712" s="4" t="s">
        <v>85</v>
      </c>
      <c r="B2712" s="4" t="str">
        <f>"2020031207"</f>
        <v>2020031207</v>
      </c>
      <c r="C2712" s="5">
        <v>60.9</v>
      </c>
      <c r="D2712" s="6">
        <v>46</v>
      </c>
      <c r="E2712" s="7">
        <f t="shared" si="42"/>
        <v>106.9</v>
      </c>
      <c r="F2712" s="8"/>
    </row>
    <row r="2713" spans="1:6" ht="18" customHeight="1">
      <c r="A2713" s="4" t="s">
        <v>85</v>
      </c>
      <c r="B2713" s="4" t="str">
        <f>"2020043222"</f>
        <v>2020043222</v>
      </c>
      <c r="C2713" s="5">
        <v>55.9</v>
      </c>
      <c r="D2713" s="6">
        <v>51</v>
      </c>
      <c r="E2713" s="7">
        <f t="shared" si="42"/>
        <v>106.9</v>
      </c>
      <c r="F2713" s="8"/>
    </row>
    <row r="2714" spans="1:6" ht="18" customHeight="1">
      <c r="A2714" s="4" t="s">
        <v>85</v>
      </c>
      <c r="B2714" s="4" t="str">
        <f>"2020031128"</f>
        <v>2020031128</v>
      </c>
      <c r="C2714" s="5">
        <v>54.7</v>
      </c>
      <c r="D2714" s="6">
        <v>52</v>
      </c>
      <c r="E2714" s="7">
        <f t="shared" si="42"/>
        <v>106.7</v>
      </c>
      <c r="F2714" s="8"/>
    </row>
    <row r="2715" spans="1:6" ht="18" customHeight="1">
      <c r="A2715" s="4" t="s">
        <v>85</v>
      </c>
      <c r="B2715" s="4" t="str">
        <f>"2020031408"</f>
        <v>2020031408</v>
      </c>
      <c r="C2715" s="5">
        <v>53.1</v>
      </c>
      <c r="D2715" s="6">
        <v>53.5</v>
      </c>
      <c r="E2715" s="7">
        <f t="shared" si="42"/>
        <v>106.6</v>
      </c>
      <c r="F2715" s="8"/>
    </row>
    <row r="2716" spans="1:6" ht="18" customHeight="1">
      <c r="A2716" s="4" t="s">
        <v>85</v>
      </c>
      <c r="B2716" s="4" t="str">
        <f>"2020012407"</f>
        <v>2020012407</v>
      </c>
      <c r="C2716" s="5">
        <v>53.1</v>
      </c>
      <c r="D2716" s="6">
        <v>53</v>
      </c>
      <c r="E2716" s="7">
        <f t="shared" si="42"/>
        <v>106.1</v>
      </c>
      <c r="F2716" s="8"/>
    </row>
    <row r="2717" spans="1:6" ht="18" customHeight="1">
      <c r="A2717" s="4" t="s">
        <v>85</v>
      </c>
      <c r="B2717" s="4" t="str">
        <f>"2020013518"</f>
        <v>2020013518</v>
      </c>
      <c r="C2717" s="5">
        <v>55.5</v>
      </c>
      <c r="D2717" s="6">
        <v>50.5</v>
      </c>
      <c r="E2717" s="7">
        <f t="shared" si="42"/>
        <v>106</v>
      </c>
      <c r="F2717" s="8"/>
    </row>
    <row r="2718" spans="1:6" ht="18" customHeight="1">
      <c r="A2718" s="4" t="s">
        <v>85</v>
      </c>
      <c r="B2718" s="4" t="str">
        <f>"2020040427"</f>
        <v>2020040427</v>
      </c>
      <c r="C2718" s="5">
        <v>54.9</v>
      </c>
      <c r="D2718" s="6">
        <v>51</v>
      </c>
      <c r="E2718" s="7">
        <f t="shared" si="42"/>
        <v>105.9</v>
      </c>
      <c r="F2718" s="8"/>
    </row>
    <row r="2719" spans="1:6" ht="18" customHeight="1">
      <c r="A2719" s="4" t="s">
        <v>85</v>
      </c>
      <c r="B2719" s="4" t="str">
        <f>"2020032403"</f>
        <v>2020032403</v>
      </c>
      <c r="C2719" s="5">
        <v>55.8</v>
      </c>
      <c r="D2719" s="6">
        <v>50</v>
      </c>
      <c r="E2719" s="7">
        <f t="shared" si="42"/>
        <v>105.8</v>
      </c>
      <c r="F2719" s="8"/>
    </row>
    <row r="2720" spans="1:6" ht="18" customHeight="1">
      <c r="A2720" s="4" t="s">
        <v>85</v>
      </c>
      <c r="B2720" s="4" t="str">
        <f>"2020024610"</f>
        <v>2020024610</v>
      </c>
      <c r="C2720" s="5">
        <v>51.3</v>
      </c>
      <c r="D2720" s="6">
        <v>54.5</v>
      </c>
      <c r="E2720" s="7">
        <f t="shared" si="42"/>
        <v>105.8</v>
      </c>
      <c r="F2720" s="8"/>
    </row>
    <row r="2721" spans="1:6" ht="18" customHeight="1">
      <c r="A2721" s="4" t="s">
        <v>85</v>
      </c>
      <c r="B2721" s="4" t="str">
        <f>"2020024023"</f>
        <v>2020024023</v>
      </c>
      <c r="C2721" s="5">
        <v>57.5</v>
      </c>
      <c r="D2721" s="6">
        <v>48</v>
      </c>
      <c r="E2721" s="7">
        <f t="shared" si="42"/>
        <v>105.5</v>
      </c>
      <c r="F2721" s="8"/>
    </row>
    <row r="2722" spans="1:6" ht="18" customHeight="1">
      <c r="A2722" s="4" t="s">
        <v>85</v>
      </c>
      <c r="B2722" s="4" t="str">
        <f>"2020011818"</f>
        <v>2020011818</v>
      </c>
      <c r="C2722" s="5">
        <v>56.9</v>
      </c>
      <c r="D2722" s="6">
        <v>48.5</v>
      </c>
      <c r="E2722" s="7">
        <f t="shared" si="42"/>
        <v>105.4</v>
      </c>
      <c r="F2722" s="8"/>
    </row>
    <row r="2723" spans="1:6" ht="18" customHeight="1">
      <c r="A2723" s="4" t="s">
        <v>85</v>
      </c>
      <c r="B2723" s="4" t="str">
        <f>"2020033023"</f>
        <v>2020033023</v>
      </c>
      <c r="C2723" s="5">
        <v>58.7</v>
      </c>
      <c r="D2723" s="6">
        <v>46.5</v>
      </c>
      <c r="E2723" s="7">
        <f t="shared" si="42"/>
        <v>105.2</v>
      </c>
      <c r="F2723" s="8"/>
    </row>
    <row r="2724" spans="1:6" ht="18" customHeight="1">
      <c r="A2724" s="4" t="s">
        <v>85</v>
      </c>
      <c r="B2724" s="4" t="str">
        <f>"2020041028"</f>
        <v>2020041028</v>
      </c>
      <c r="C2724" s="5">
        <v>56.7</v>
      </c>
      <c r="D2724" s="6">
        <v>48</v>
      </c>
      <c r="E2724" s="7">
        <f t="shared" si="42"/>
        <v>104.7</v>
      </c>
      <c r="F2724" s="8"/>
    </row>
    <row r="2725" spans="1:6" ht="18" customHeight="1">
      <c r="A2725" s="4" t="s">
        <v>85</v>
      </c>
      <c r="B2725" s="4" t="str">
        <f>"2020033130"</f>
        <v>2020033130</v>
      </c>
      <c r="C2725" s="5">
        <v>50.3</v>
      </c>
      <c r="D2725" s="6">
        <v>54</v>
      </c>
      <c r="E2725" s="7">
        <f t="shared" si="42"/>
        <v>104.3</v>
      </c>
      <c r="F2725" s="8"/>
    </row>
    <row r="2726" spans="1:6" ht="18" customHeight="1">
      <c r="A2726" s="4" t="s">
        <v>85</v>
      </c>
      <c r="B2726" s="4" t="str">
        <f>"2020021302"</f>
        <v>2020021302</v>
      </c>
      <c r="C2726" s="5">
        <v>57.7</v>
      </c>
      <c r="D2726" s="6">
        <v>46.5</v>
      </c>
      <c r="E2726" s="7">
        <f t="shared" si="42"/>
        <v>104.2</v>
      </c>
      <c r="F2726" s="8"/>
    </row>
    <row r="2727" spans="1:6" ht="18" customHeight="1">
      <c r="A2727" s="4" t="s">
        <v>85</v>
      </c>
      <c r="B2727" s="4" t="str">
        <f>"2020021111"</f>
        <v>2020021111</v>
      </c>
      <c r="C2727" s="5">
        <v>56.2</v>
      </c>
      <c r="D2727" s="6">
        <v>48</v>
      </c>
      <c r="E2727" s="7">
        <f t="shared" si="42"/>
        <v>104.2</v>
      </c>
      <c r="F2727" s="8"/>
    </row>
    <row r="2728" spans="1:6" ht="18" customHeight="1">
      <c r="A2728" s="4" t="s">
        <v>85</v>
      </c>
      <c r="B2728" s="4" t="str">
        <f>"2020024424"</f>
        <v>2020024424</v>
      </c>
      <c r="C2728" s="5">
        <v>58.3</v>
      </c>
      <c r="D2728" s="6">
        <v>45.5</v>
      </c>
      <c r="E2728" s="7">
        <f t="shared" si="42"/>
        <v>103.8</v>
      </c>
      <c r="F2728" s="8"/>
    </row>
    <row r="2729" spans="1:6" ht="18" customHeight="1">
      <c r="A2729" s="4" t="s">
        <v>85</v>
      </c>
      <c r="B2729" s="4" t="str">
        <f>"2020030522"</f>
        <v>2020030522</v>
      </c>
      <c r="C2729" s="5">
        <v>49.1</v>
      </c>
      <c r="D2729" s="6">
        <v>54.5</v>
      </c>
      <c r="E2729" s="7">
        <f t="shared" si="42"/>
        <v>103.6</v>
      </c>
      <c r="F2729" s="8"/>
    </row>
    <row r="2730" spans="1:6" ht="18" customHeight="1">
      <c r="A2730" s="4" t="s">
        <v>85</v>
      </c>
      <c r="B2730" s="4" t="str">
        <f>"2020031904"</f>
        <v>2020031904</v>
      </c>
      <c r="C2730" s="5">
        <v>64.7</v>
      </c>
      <c r="D2730" s="6">
        <v>38.5</v>
      </c>
      <c r="E2730" s="7">
        <f t="shared" si="42"/>
        <v>103.2</v>
      </c>
      <c r="F2730" s="8"/>
    </row>
    <row r="2731" spans="1:6" ht="18" customHeight="1">
      <c r="A2731" s="4" t="s">
        <v>85</v>
      </c>
      <c r="B2731" s="4" t="str">
        <f>"2020013021"</f>
        <v>2020013021</v>
      </c>
      <c r="C2731" s="5">
        <v>55.1</v>
      </c>
      <c r="D2731" s="6">
        <v>48</v>
      </c>
      <c r="E2731" s="7">
        <f t="shared" si="42"/>
        <v>103.1</v>
      </c>
      <c r="F2731" s="8"/>
    </row>
    <row r="2732" spans="1:6" ht="18" customHeight="1">
      <c r="A2732" s="4" t="s">
        <v>85</v>
      </c>
      <c r="B2732" s="4" t="str">
        <f>"2020030604"</f>
        <v>2020030604</v>
      </c>
      <c r="C2732" s="5">
        <v>58.7</v>
      </c>
      <c r="D2732" s="6">
        <v>43.5</v>
      </c>
      <c r="E2732" s="7">
        <f t="shared" si="42"/>
        <v>102.2</v>
      </c>
      <c r="F2732" s="8"/>
    </row>
    <row r="2733" spans="1:6" ht="18" customHeight="1">
      <c r="A2733" s="4" t="s">
        <v>85</v>
      </c>
      <c r="B2733" s="4" t="str">
        <f>"2020024107"</f>
        <v>2020024107</v>
      </c>
      <c r="C2733" s="5">
        <v>51.9</v>
      </c>
      <c r="D2733" s="6">
        <v>50</v>
      </c>
      <c r="E2733" s="7">
        <f t="shared" si="42"/>
        <v>101.9</v>
      </c>
      <c r="F2733" s="8"/>
    </row>
    <row r="2734" spans="1:6" ht="18" customHeight="1">
      <c r="A2734" s="4" t="s">
        <v>85</v>
      </c>
      <c r="B2734" s="4" t="str">
        <f>"2020022106"</f>
        <v>2020022106</v>
      </c>
      <c r="C2734" s="5">
        <v>58.1</v>
      </c>
      <c r="D2734" s="6">
        <v>43</v>
      </c>
      <c r="E2734" s="7">
        <f t="shared" si="42"/>
        <v>101.1</v>
      </c>
      <c r="F2734" s="8"/>
    </row>
    <row r="2735" spans="1:6" ht="18" customHeight="1">
      <c r="A2735" s="4" t="s">
        <v>85</v>
      </c>
      <c r="B2735" s="4" t="str">
        <f>"2020042125"</f>
        <v>2020042125</v>
      </c>
      <c r="C2735" s="5">
        <v>53</v>
      </c>
      <c r="D2735" s="6">
        <v>48</v>
      </c>
      <c r="E2735" s="7">
        <f t="shared" si="42"/>
        <v>101</v>
      </c>
      <c r="F2735" s="8"/>
    </row>
    <row r="2736" spans="1:6" ht="18" customHeight="1">
      <c r="A2736" s="4" t="s">
        <v>85</v>
      </c>
      <c r="B2736" s="4" t="str">
        <f>"2020024415"</f>
        <v>2020024415</v>
      </c>
      <c r="C2736" s="5">
        <v>56.9</v>
      </c>
      <c r="D2736" s="6">
        <v>43</v>
      </c>
      <c r="E2736" s="7">
        <f t="shared" si="42"/>
        <v>99.9</v>
      </c>
      <c r="F2736" s="8"/>
    </row>
    <row r="2737" spans="1:6" ht="18" customHeight="1">
      <c r="A2737" s="4" t="s">
        <v>85</v>
      </c>
      <c r="B2737" s="4" t="str">
        <f>"2020044702"</f>
        <v>2020044702</v>
      </c>
      <c r="C2737" s="5">
        <v>53.4</v>
      </c>
      <c r="D2737" s="6">
        <v>46.5</v>
      </c>
      <c r="E2737" s="7">
        <f t="shared" si="42"/>
        <v>99.9</v>
      </c>
      <c r="F2737" s="8"/>
    </row>
    <row r="2738" spans="1:6" ht="18" customHeight="1">
      <c r="A2738" s="4" t="s">
        <v>85</v>
      </c>
      <c r="B2738" s="4" t="str">
        <f>"2020045025"</f>
        <v>2020045025</v>
      </c>
      <c r="C2738" s="5">
        <v>52.2</v>
      </c>
      <c r="D2738" s="6">
        <v>47.5</v>
      </c>
      <c r="E2738" s="7">
        <f t="shared" si="42"/>
        <v>99.7</v>
      </c>
      <c r="F2738" s="8"/>
    </row>
    <row r="2739" spans="1:6" ht="18" customHeight="1">
      <c r="A2739" s="4" t="s">
        <v>85</v>
      </c>
      <c r="B2739" s="4" t="str">
        <f>"2020021807"</f>
        <v>2020021807</v>
      </c>
      <c r="C2739" s="5">
        <v>53.6</v>
      </c>
      <c r="D2739" s="6">
        <v>46</v>
      </c>
      <c r="E2739" s="7">
        <f t="shared" si="42"/>
        <v>99.6</v>
      </c>
      <c r="F2739" s="8"/>
    </row>
    <row r="2740" spans="1:6" ht="18" customHeight="1">
      <c r="A2740" s="4" t="s">
        <v>85</v>
      </c>
      <c r="B2740" s="4" t="str">
        <f>"2020041913"</f>
        <v>2020041913</v>
      </c>
      <c r="C2740" s="5">
        <v>51.5</v>
      </c>
      <c r="D2740" s="6">
        <v>48</v>
      </c>
      <c r="E2740" s="7">
        <f t="shared" si="42"/>
        <v>99.5</v>
      </c>
      <c r="F2740" s="8"/>
    </row>
    <row r="2741" spans="1:6" ht="18" customHeight="1">
      <c r="A2741" s="4" t="s">
        <v>85</v>
      </c>
      <c r="B2741" s="4" t="str">
        <f>"2020022420"</f>
        <v>2020022420</v>
      </c>
      <c r="C2741" s="5">
        <v>48</v>
      </c>
      <c r="D2741" s="6">
        <v>51.5</v>
      </c>
      <c r="E2741" s="7">
        <f t="shared" si="42"/>
        <v>99.5</v>
      </c>
      <c r="F2741" s="8"/>
    </row>
    <row r="2742" spans="1:6" ht="18" customHeight="1">
      <c r="A2742" s="4" t="s">
        <v>85</v>
      </c>
      <c r="B2742" s="4" t="str">
        <f>"2020044518"</f>
        <v>2020044518</v>
      </c>
      <c r="C2742" s="5">
        <v>57.6</v>
      </c>
      <c r="D2742" s="6">
        <v>40</v>
      </c>
      <c r="E2742" s="7">
        <f t="shared" si="42"/>
        <v>97.6</v>
      </c>
      <c r="F2742" s="8"/>
    </row>
    <row r="2743" spans="1:6" ht="18" customHeight="1">
      <c r="A2743" s="4" t="s">
        <v>85</v>
      </c>
      <c r="B2743" s="4" t="str">
        <f>"2020031905"</f>
        <v>2020031905</v>
      </c>
      <c r="C2743" s="5">
        <v>50.9</v>
      </c>
      <c r="D2743" s="6">
        <v>46.5</v>
      </c>
      <c r="E2743" s="7">
        <f t="shared" si="42"/>
        <v>97.4</v>
      </c>
      <c r="F2743" s="8"/>
    </row>
    <row r="2744" spans="1:6" ht="18" customHeight="1">
      <c r="A2744" s="4" t="s">
        <v>85</v>
      </c>
      <c r="B2744" s="4" t="str">
        <f>"2020046203"</f>
        <v>2020046203</v>
      </c>
      <c r="C2744" s="5">
        <v>58.5</v>
      </c>
      <c r="D2744" s="6">
        <v>38.5</v>
      </c>
      <c r="E2744" s="7">
        <f t="shared" si="42"/>
        <v>97</v>
      </c>
      <c r="F2744" s="8"/>
    </row>
    <row r="2745" spans="1:6" ht="18" customHeight="1">
      <c r="A2745" s="4" t="s">
        <v>85</v>
      </c>
      <c r="B2745" s="4" t="str">
        <f>"2020011629"</f>
        <v>2020011629</v>
      </c>
      <c r="C2745" s="5">
        <v>53.1</v>
      </c>
      <c r="D2745" s="6">
        <v>43.5</v>
      </c>
      <c r="E2745" s="7">
        <f t="shared" si="42"/>
        <v>96.6</v>
      </c>
      <c r="F2745" s="8"/>
    </row>
    <row r="2746" spans="1:6" ht="18" customHeight="1">
      <c r="A2746" s="4" t="s">
        <v>85</v>
      </c>
      <c r="B2746" s="4" t="str">
        <f>"2020045908"</f>
        <v>2020045908</v>
      </c>
      <c r="C2746" s="5">
        <v>50.8</v>
      </c>
      <c r="D2746" s="6">
        <v>45.5</v>
      </c>
      <c r="E2746" s="7">
        <f t="shared" si="42"/>
        <v>96.3</v>
      </c>
      <c r="F2746" s="8"/>
    </row>
    <row r="2747" spans="1:6" ht="18" customHeight="1">
      <c r="A2747" s="4" t="s">
        <v>85</v>
      </c>
      <c r="B2747" s="4" t="str">
        <f>"2020041312"</f>
        <v>2020041312</v>
      </c>
      <c r="C2747" s="5">
        <v>54.5</v>
      </c>
      <c r="D2747" s="6">
        <v>41.5</v>
      </c>
      <c r="E2747" s="7">
        <f t="shared" si="42"/>
        <v>96</v>
      </c>
      <c r="F2747" s="8"/>
    </row>
    <row r="2748" spans="1:6" ht="18" customHeight="1">
      <c r="A2748" s="4" t="s">
        <v>85</v>
      </c>
      <c r="B2748" s="4" t="str">
        <f>"2020042406"</f>
        <v>2020042406</v>
      </c>
      <c r="C2748" s="5">
        <v>48.3</v>
      </c>
      <c r="D2748" s="6">
        <v>46.5</v>
      </c>
      <c r="E2748" s="7">
        <f t="shared" si="42"/>
        <v>94.8</v>
      </c>
      <c r="F2748" s="8"/>
    </row>
    <row r="2749" spans="1:6" ht="18" customHeight="1">
      <c r="A2749" s="4" t="s">
        <v>85</v>
      </c>
      <c r="B2749" s="4" t="str">
        <f>"2020031629"</f>
        <v>2020031629</v>
      </c>
      <c r="C2749" s="5">
        <v>51.9</v>
      </c>
      <c r="D2749" s="6">
        <v>42.5</v>
      </c>
      <c r="E2749" s="7">
        <f t="shared" si="42"/>
        <v>94.4</v>
      </c>
      <c r="F2749" s="8"/>
    </row>
    <row r="2750" spans="1:6" ht="18" customHeight="1">
      <c r="A2750" s="4" t="s">
        <v>85</v>
      </c>
      <c r="B2750" s="4" t="str">
        <f>"2020040618"</f>
        <v>2020040618</v>
      </c>
      <c r="C2750" s="5">
        <v>48.8</v>
      </c>
      <c r="D2750" s="6">
        <v>45.5</v>
      </c>
      <c r="E2750" s="7">
        <f t="shared" si="42"/>
        <v>94.3</v>
      </c>
      <c r="F2750" s="8"/>
    </row>
    <row r="2751" spans="1:6" ht="18" customHeight="1">
      <c r="A2751" s="4" t="s">
        <v>85</v>
      </c>
      <c r="B2751" s="4" t="str">
        <f>"2020013607"</f>
        <v>2020013607</v>
      </c>
      <c r="C2751" s="5">
        <v>48.3</v>
      </c>
      <c r="D2751" s="6">
        <v>46</v>
      </c>
      <c r="E2751" s="7">
        <f t="shared" si="42"/>
        <v>94.3</v>
      </c>
      <c r="F2751" s="8"/>
    </row>
    <row r="2752" spans="1:6" ht="18" customHeight="1">
      <c r="A2752" s="4" t="s">
        <v>85</v>
      </c>
      <c r="B2752" s="4" t="str">
        <f>"2020045802"</f>
        <v>2020045802</v>
      </c>
      <c r="C2752" s="5">
        <v>54.6</v>
      </c>
      <c r="D2752" s="6">
        <v>39.5</v>
      </c>
      <c r="E2752" s="7">
        <f t="shared" si="42"/>
        <v>94.1</v>
      </c>
      <c r="F2752" s="8"/>
    </row>
    <row r="2753" spans="1:6" ht="18" customHeight="1">
      <c r="A2753" s="4" t="s">
        <v>85</v>
      </c>
      <c r="B2753" s="4" t="str">
        <f>"2020012509"</f>
        <v>2020012509</v>
      </c>
      <c r="C2753" s="5">
        <v>46.4</v>
      </c>
      <c r="D2753" s="6">
        <v>47.5</v>
      </c>
      <c r="E2753" s="7">
        <f t="shared" si="42"/>
        <v>93.9</v>
      </c>
      <c r="F2753" s="8"/>
    </row>
    <row r="2754" spans="1:6" ht="18" customHeight="1">
      <c r="A2754" s="4" t="s">
        <v>85</v>
      </c>
      <c r="B2754" s="4" t="str">
        <f>"2020046719"</f>
        <v>2020046719</v>
      </c>
      <c r="C2754" s="5">
        <v>44.3</v>
      </c>
      <c r="D2754" s="6">
        <v>49.5</v>
      </c>
      <c r="E2754" s="7">
        <f t="shared" si="42"/>
        <v>93.8</v>
      </c>
      <c r="F2754" s="8"/>
    </row>
    <row r="2755" spans="1:6" ht="18" customHeight="1">
      <c r="A2755" s="4" t="s">
        <v>85</v>
      </c>
      <c r="B2755" s="4" t="str">
        <f>"2020021503"</f>
        <v>2020021503</v>
      </c>
      <c r="C2755" s="5">
        <v>52.1</v>
      </c>
      <c r="D2755" s="6">
        <v>41.5</v>
      </c>
      <c r="E2755" s="7">
        <f t="shared" ref="E2755:E2818" si="43">SUM(C2755:D2755)</f>
        <v>93.6</v>
      </c>
      <c r="F2755" s="8"/>
    </row>
    <row r="2756" spans="1:6" ht="18" customHeight="1">
      <c r="A2756" s="4" t="s">
        <v>85</v>
      </c>
      <c r="B2756" s="4" t="str">
        <f>"2020030207"</f>
        <v>2020030207</v>
      </c>
      <c r="C2756" s="5">
        <v>47.7</v>
      </c>
      <c r="D2756" s="6">
        <v>45</v>
      </c>
      <c r="E2756" s="7">
        <f t="shared" si="43"/>
        <v>92.7</v>
      </c>
      <c r="F2756" s="8"/>
    </row>
    <row r="2757" spans="1:6" ht="18" customHeight="1">
      <c r="A2757" s="4" t="s">
        <v>85</v>
      </c>
      <c r="B2757" s="4" t="str">
        <f>"2020030620"</f>
        <v>2020030620</v>
      </c>
      <c r="C2757" s="5">
        <v>50.3</v>
      </c>
      <c r="D2757" s="6">
        <v>41</v>
      </c>
      <c r="E2757" s="7">
        <f t="shared" si="43"/>
        <v>91.3</v>
      </c>
      <c r="F2757" s="8"/>
    </row>
    <row r="2758" spans="1:6" ht="18" customHeight="1">
      <c r="A2758" s="4" t="s">
        <v>85</v>
      </c>
      <c r="B2758" s="4" t="str">
        <f>"2020033807"</f>
        <v>2020033807</v>
      </c>
      <c r="C2758" s="5">
        <v>48.2</v>
      </c>
      <c r="D2758" s="6">
        <v>43</v>
      </c>
      <c r="E2758" s="7">
        <f t="shared" si="43"/>
        <v>91.2</v>
      </c>
      <c r="F2758" s="8"/>
    </row>
    <row r="2759" spans="1:6" ht="18" customHeight="1">
      <c r="A2759" s="4" t="s">
        <v>85</v>
      </c>
      <c r="B2759" s="4" t="str">
        <f>"2020043003"</f>
        <v>2020043003</v>
      </c>
      <c r="C2759" s="5">
        <v>52.3</v>
      </c>
      <c r="D2759" s="6">
        <v>38.5</v>
      </c>
      <c r="E2759" s="7">
        <f t="shared" si="43"/>
        <v>90.8</v>
      </c>
      <c r="F2759" s="8"/>
    </row>
    <row r="2760" spans="1:6" ht="18" customHeight="1">
      <c r="A2760" s="4" t="s">
        <v>85</v>
      </c>
      <c r="B2760" s="4" t="str">
        <f>"2020021023"</f>
        <v>2020021023</v>
      </c>
      <c r="C2760" s="5">
        <v>56.6</v>
      </c>
      <c r="D2760" s="6">
        <v>34</v>
      </c>
      <c r="E2760" s="7">
        <f t="shared" si="43"/>
        <v>90.6</v>
      </c>
      <c r="F2760" s="8"/>
    </row>
    <row r="2761" spans="1:6" ht="18" customHeight="1">
      <c r="A2761" s="4" t="s">
        <v>85</v>
      </c>
      <c r="B2761" s="4" t="str">
        <f>"2020043615"</f>
        <v>2020043615</v>
      </c>
      <c r="C2761" s="5">
        <v>49.5</v>
      </c>
      <c r="D2761" s="6">
        <v>41</v>
      </c>
      <c r="E2761" s="7">
        <f t="shared" si="43"/>
        <v>90.5</v>
      </c>
      <c r="F2761" s="8"/>
    </row>
    <row r="2762" spans="1:6" ht="18" customHeight="1">
      <c r="A2762" s="4" t="s">
        <v>85</v>
      </c>
      <c r="B2762" s="4" t="str">
        <f>"2020033517"</f>
        <v>2020033517</v>
      </c>
      <c r="C2762" s="5">
        <v>49.9</v>
      </c>
      <c r="D2762" s="6">
        <v>40.5</v>
      </c>
      <c r="E2762" s="7">
        <f t="shared" si="43"/>
        <v>90.4</v>
      </c>
      <c r="F2762" s="8"/>
    </row>
    <row r="2763" spans="1:6" ht="18" customHeight="1">
      <c r="A2763" s="4" t="s">
        <v>85</v>
      </c>
      <c r="B2763" s="4" t="str">
        <f>"2020041429"</f>
        <v>2020041429</v>
      </c>
      <c r="C2763" s="5">
        <v>54</v>
      </c>
      <c r="D2763" s="6">
        <v>35.5</v>
      </c>
      <c r="E2763" s="7">
        <f t="shared" si="43"/>
        <v>89.5</v>
      </c>
      <c r="F2763" s="8"/>
    </row>
    <row r="2764" spans="1:6" ht="18" customHeight="1">
      <c r="A2764" s="4" t="s">
        <v>85</v>
      </c>
      <c r="B2764" s="4" t="str">
        <f>"2020021007"</f>
        <v>2020021007</v>
      </c>
      <c r="C2764" s="5">
        <v>46.5</v>
      </c>
      <c r="D2764" s="6">
        <v>41</v>
      </c>
      <c r="E2764" s="7">
        <f t="shared" si="43"/>
        <v>87.5</v>
      </c>
      <c r="F2764" s="8"/>
    </row>
    <row r="2765" spans="1:6" ht="18" customHeight="1">
      <c r="A2765" s="4" t="s">
        <v>85</v>
      </c>
      <c r="B2765" s="4" t="str">
        <f>"2020046403"</f>
        <v>2020046403</v>
      </c>
      <c r="C2765" s="5">
        <v>41.4</v>
      </c>
      <c r="D2765" s="6">
        <v>45</v>
      </c>
      <c r="E2765" s="7">
        <f t="shared" si="43"/>
        <v>86.4</v>
      </c>
      <c r="F2765" s="8"/>
    </row>
    <row r="2766" spans="1:6" ht="18" customHeight="1">
      <c r="A2766" s="4" t="s">
        <v>85</v>
      </c>
      <c r="B2766" s="4" t="str">
        <f>"2020030123"</f>
        <v>2020030123</v>
      </c>
      <c r="C2766" s="5">
        <v>43</v>
      </c>
      <c r="D2766" s="6">
        <v>43</v>
      </c>
      <c r="E2766" s="7">
        <f t="shared" si="43"/>
        <v>86</v>
      </c>
      <c r="F2766" s="8"/>
    </row>
    <row r="2767" spans="1:6" ht="18" customHeight="1">
      <c r="A2767" s="4" t="s">
        <v>85</v>
      </c>
      <c r="B2767" s="4" t="str">
        <f>"2020010115"</f>
        <v>2020010115</v>
      </c>
      <c r="C2767" s="5">
        <v>49.4</v>
      </c>
      <c r="D2767" s="6">
        <v>36</v>
      </c>
      <c r="E2767" s="7">
        <f t="shared" si="43"/>
        <v>85.4</v>
      </c>
      <c r="F2767" s="8"/>
    </row>
    <row r="2768" spans="1:6" ht="18" customHeight="1">
      <c r="A2768" s="4" t="s">
        <v>85</v>
      </c>
      <c r="B2768" s="4" t="str">
        <f>"2020031120"</f>
        <v>2020031120</v>
      </c>
      <c r="C2768" s="5">
        <v>44.3</v>
      </c>
      <c r="D2768" s="6">
        <v>40.5</v>
      </c>
      <c r="E2768" s="7">
        <f t="shared" si="43"/>
        <v>84.8</v>
      </c>
      <c r="F2768" s="8"/>
    </row>
    <row r="2769" spans="1:6" ht="18" customHeight="1">
      <c r="A2769" s="4" t="s">
        <v>85</v>
      </c>
      <c r="B2769" s="4" t="str">
        <f>"2020042506"</f>
        <v>2020042506</v>
      </c>
      <c r="C2769" s="5">
        <v>43.5</v>
      </c>
      <c r="D2769" s="6">
        <v>34.5</v>
      </c>
      <c r="E2769" s="7">
        <f t="shared" si="43"/>
        <v>78</v>
      </c>
      <c r="F2769" s="8"/>
    </row>
    <row r="2770" spans="1:6" ht="18" customHeight="1">
      <c r="A2770" s="4" t="s">
        <v>85</v>
      </c>
      <c r="B2770" s="4" t="str">
        <f>"2020044117"</f>
        <v>2020044117</v>
      </c>
      <c r="C2770" s="5">
        <v>35.6</v>
      </c>
      <c r="D2770" s="6">
        <v>40</v>
      </c>
      <c r="E2770" s="7">
        <f t="shared" si="43"/>
        <v>75.599999999999994</v>
      </c>
      <c r="F2770" s="9"/>
    </row>
    <row r="2771" spans="1:6" ht="18" customHeight="1">
      <c r="A2771" s="4" t="s">
        <v>85</v>
      </c>
      <c r="B2771" s="4" t="str">
        <f>"2020040714"</f>
        <v>2020040714</v>
      </c>
      <c r="C2771" s="5">
        <v>58.6</v>
      </c>
      <c r="D2771" s="6">
        <v>13</v>
      </c>
      <c r="E2771" s="7">
        <f t="shared" si="43"/>
        <v>71.599999999999994</v>
      </c>
      <c r="F2771" s="8"/>
    </row>
    <row r="2772" spans="1:6" ht="18" customHeight="1">
      <c r="A2772" s="4" t="s">
        <v>85</v>
      </c>
      <c r="B2772" s="4" t="str">
        <f>"2020044324"</f>
        <v>2020044324</v>
      </c>
      <c r="C2772" s="5">
        <v>27.6</v>
      </c>
      <c r="D2772" s="6">
        <v>34.5</v>
      </c>
      <c r="E2772" s="7">
        <f t="shared" si="43"/>
        <v>62.1</v>
      </c>
      <c r="F2772" s="8"/>
    </row>
    <row r="2773" spans="1:6" ht="18" customHeight="1">
      <c r="A2773" s="4" t="s">
        <v>85</v>
      </c>
      <c r="B2773" s="4" t="str">
        <f>"2020010707"</f>
        <v>2020010707</v>
      </c>
      <c r="C2773" s="5">
        <v>0</v>
      </c>
      <c r="D2773" s="6">
        <v>0</v>
      </c>
      <c r="E2773" s="7">
        <f t="shared" si="43"/>
        <v>0</v>
      </c>
      <c r="F2773" s="9" t="s">
        <v>8</v>
      </c>
    </row>
    <row r="2774" spans="1:6" ht="18" customHeight="1">
      <c r="A2774" s="4" t="s">
        <v>85</v>
      </c>
      <c r="B2774" s="4" t="str">
        <f>"2020012217"</f>
        <v>2020012217</v>
      </c>
      <c r="C2774" s="5">
        <v>0</v>
      </c>
      <c r="D2774" s="6">
        <v>0</v>
      </c>
      <c r="E2774" s="7">
        <f t="shared" si="43"/>
        <v>0</v>
      </c>
      <c r="F2774" s="9" t="s">
        <v>8</v>
      </c>
    </row>
    <row r="2775" spans="1:6" ht="18" customHeight="1">
      <c r="A2775" s="4" t="s">
        <v>85</v>
      </c>
      <c r="B2775" s="4" t="str">
        <f>"2020013105"</f>
        <v>2020013105</v>
      </c>
      <c r="C2775" s="5">
        <v>0</v>
      </c>
      <c r="D2775" s="6">
        <v>0</v>
      </c>
      <c r="E2775" s="7">
        <f t="shared" si="43"/>
        <v>0</v>
      </c>
      <c r="F2775" s="9" t="s">
        <v>8</v>
      </c>
    </row>
    <row r="2776" spans="1:6" ht="18" customHeight="1">
      <c r="A2776" s="4" t="s">
        <v>85</v>
      </c>
      <c r="B2776" s="4" t="str">
        <f>"2020020907"</f>
        <v>2020020907</v>
      </c>
      <c r="C2776" s="5">
        <v>0</v>
      </c>
      <c r="D2776" s="6">
        <v>0</v>
      </c>
      <c r="E2776" s="7">
        <f t="shared" si="43"/>
        <v>0</v>
      </c>
      <c r="F2776" s="8" t="s">
        <v>8</v>
      </c>
    </row>
    <row r="2777" spans="1:6" ht="18" customHeight="1">
      <c r="A2777" s="4" t="s">
        <v>85</v>
      </c>
      <c r="B2777" s="4" t="str">
        <f>"2020021222"</f>
        <v>2020021222</v>
      </c>
      <c r="C2777" s="5">
        <v>0</v>
      </c>
      <c r="D2777" s="6">
        <v>0</v>
      </c>
      <c r="E2777" s="7">
        <f t="shared" si="43"/>
        <v>0</v>
      </c>
      <c r="F2777" s="8" t="s">
        <v>8</v>
      </c>
    </row>
    <row r="2778" spans="1:6" ht="18" customHeight="1">
      <c r="A2778" s="4" t="s">
        <v>85</v>
      </c>
      <c r="B2778" s="4" t="str">
        <f>"2020021417"</f>
        <v>2020021417</v>
      </c>
      <c r="C2778" s="5">
        <v>0</v>
      </c>
      <c r="D2778" s="6">
        <v>0</v>
      </c>
      <c r="E2778" s="7">
        <f t="shared" si="43"/>
        <v>0</v>
      </c>
      <c r="F2778" s="8" t="s">
        <v>8</v>
      </c>
    </row>
    <row r="2779" spans="1:6" ht="18" customHeight="1">
      <c r="A2779" s="4" t="s">
        <v>85</v>
      </c>
      <c r="B2779" s="4" t="str">
        <f>"2020022215"</f>
        <v>2020022215</v>
      </c>
      <c r="C2779" s="5">
        <v>0</v>
      </c>
      <c r="D2779" s="6">
        <v>0</v>
      </c>
      <c r="E2779" s="7">
        <f t="shared" si="43"/>
        <v>0</v>
      </c>
      <c r="F2779" s="8" t="s">
        <v>8</v>
      </c>
    </row>
    <row r="2780" spans="1:6" ht="18" customHeight="1">
      <c r="A2780" s="4" t="s">
        <v>85</v>
      </c>
      <c r="B2780" s="4" t="str">
        <f>"2020022224"</f>
        <v>2020022224</v>
      </c>
      <c r="C2780" s="5">
        <v>0</v>
      </c>
      <c r="D2780" s="6">
        <v>0</v>
      </c>
      <c r="E2780" s="7">
        <f t="shared" si="43"/>
        <v>0</v>
      </c>
      <c r="F2780" s="8" t="s">
        <v>8</v>
      </c>
    </row>
    <row r="2781" spans="1:6" ht="18" customHeight="1">
      <c r="A2781" s="4" t="s">
        <v>85</v>
      </c>
      <c r="B2781" s="4" t="str">
        <f>"2020032314"</f>
        <v>2020032314</v>
      </c>
      <c r="C2781" s="5">
        <v>0</v>
      </c>
      <c r="D2781" s="6">
        <v>0</v>
      </c>
      <c r="E2781" s="7">
        <f t="shared" si="43"/>
        <v>0</v>
      </c>
      <c r="F2781" s="8" t="s">
        <v>8</v>
      </c>
    </row>
    <row r="2782" spans="1:6" ht="18" customHeight="1">
      <c r="A2782" s="4" t="s">
        <v>85</v>
      </c>
      <c r="B2782" s="4" t="str">
        <f>"2020032422"</f>
        <v>2020032422</v>
      </c>
      <c r="C2782" s="5">
        <v>0</v>
      </c>
      <c r="D2782" s="6">
        <v>0</v>
      </c>
      <c r="E2782" s="7">
        <f t="shared" si="43"/>
        <v>0</v>
      </c>
      <c r="F2782" s="8" t="s">
        <v>8</v>
      </c>
    </row>
    <row r="2783" spans="1:6" ht="18" customHeight="1">
      <c r="A2783" s="4" t="s">
        <v>85</v>
      </c>
      <c r="B2783" s="4" t="str">
        <f>"2020033330"</f>
        <v>2020033330</v>
      </c>
      <c r="C2783" s="5">
        <v>0</v>
      </c>
      <c r="D2783" s="6">
        <v>0</v>
      </c>
      <c r="E2783" s="7">
        <f t="shared" si="43"/>
        <v>0</v>
      </c>
      <c r="F2783" s="8" t="s">
        <v>8</v>
      </c>
    </row>
    <row r="2784" spans="1:6" ht="18" customHeight="1">
      <c r="A2784" s="4" t="s">
        <v>85</v>
      </c>
      <c r="B2784" s="4" t="str">
        <f>"2020033425"</f>
        <v>2020033425</v>
      </c>
      <c r="C2784" s="5">
        <v>0</v>
      </c>
      <c r="D2784" s="6">
        <v>0</v>
      </c>
      <c r="E2784" s="7">
        <f t="shared" si="43"/>
        <v>0</v>
      </c>
      <c r="F2784" s="8" t="s">
        <v>8</v>
      </c>
    </row>
    <row r="2785" spans="1:6" ht="18" customHeight="1">
      <c r="A2785" s="4" t="s">
        <v>85</v>
      </c>
      <c r="B2785" s="4" t="str">
        <f>"2020044813"</f>
        <v>2020044813</v>
      </c>
      <c r="C2785" s="5">
        <v>0</v>
      </c>
      <c r="D2785" s="6">
        <v>0</v>
      </c>
      <c r="E2785" s="7">
        <f t="shared" si="43"/>
        <v>0</v>
      </c>
      <c r="F2785" s="8" t="s">
        <v>8</v>
      </c>
    </row>
    <row r="2786" spans="1:6" ht="18" customHeight="1">
      <c r="A2786" s="4" t="s">
        <v>85</v>
      </c>
      <c r="B2786" s="4" t="str">
        <f>"2020045120"</f>
        <v>2020045120</v>
      </c>
      <c r="C2786" s="5">
        <v>0</v>
      </c>
      <c r="D2786" s="6">
        <v>0</v>
      </c>
      <c r="E2786" s="7">
        <f t="shared" si="43"/>
        <v>0</v>
      </c>
      <c r="F2786" s="8" t="s">
        <v>8</v>
      </c>
    </row>
    <row r="2787" spans="1:6" ht="18" customHeight="1">
      <c r="A2787" s="4" t="s">
        <v>86</v>
      </c>
      <c r="B2787" s="4" t="str">
        <f>"2020021017"</f>
        <v>2020021017</v>
      </c>
      <c r="C2787" s="5">
        <v>80.5</v>
      </c>
      <c r="D2787" s="6">
        <v>79</v>
      </c>
      <c r="E2787" s="7">
        <f t="shared" si="43"/>
        <v>159.5</v>
      </c>
      <c r="F2787" s="8"/>
    </row>
    <row r="2788" spans="1:6" ht="18" customHeight="1">
      <c r="A2788" s="4" t="s">
        <v>86</v>
      </c>
      <c r="B2788" s="4" t="str">
        <f>"2020047515"</f>
        <v>2020047515</v>
      </c>
      <c r="C2788" s="5">
        <v>74.8</v>
      </c>
      <c r="D2788" s="6">
        <v>81.5</v>
      </c>
      <c r="E2788" s="7">
        <f t="shared" si="43"/>
        <v>156.30000000000001</v>
      </c>
      <c r="F2788" s="8"/>
    </row>
    <row r="2789" spans="1:6" ht="18" customHeight="1">
      <c r="A2789" s="4" t="s">
        <v>86</v>
      </c>
      <c r="B2789" s="4" t="str">
        <f>"2020031819"</f>
        <v>2020031819</v>
      </c>
      <c r="C2789" s="5">
        <v>70.2</v>
      </c>
      <c r="D2789" s="6">
        <v>82</v>
      </c>
      <c r="E2789" s="7">
        <f t="shared" si="43"/>
        <v>152.19999999999999</v>
      </c>
      <c r="F2789" s="8"/>
    </row>
    <row r="2790" spans="1:6" ht="18" customHeight="1">
      <c r="A2790" s="4" t="s">
        <v>86</v>
      </c>
      <c r="B2790" s="4" t="str">
        <f>"2020011001"</f>
        <v>2020011001</v>
      </c>
      <c r="C2790" s="5">
        <v>68.099999999999994</v>
      </c>
      <c r="D2790" s="6">
        <v>71.5</v>
      </c>
      <c r="E2790" s="7">
        <f t="shared" si="43"/>
        <v>139.6</v>
      </c>
      <c r="F2790" s="8"/>
    </row>
    <row r="2791" spans="1:6" ht="18" customHeight="1">
      <c r="A2791" s="4" t="s">
        <v>86</v>
      </c>
      <c r="B2791" s="4" t="str">
        <f>"2020012523"</f>
        <v>2020012523</v>
      </c>
      <c r="C2791" s="5">
        <v>73.5</v>
      </c>
      <c r="D2791" s="6">
        <v>65.5</v>
      </c>
      <c r="E2791" s="7">
        <f t="shared" si="43"/>
        <v>139</v>
      </c>
      <c r="F2791" s="8"/>
    </row>
    <row r="2792" spans="1:6" ht="18" customHeight="1">
      <c r="A2792" s="4" t="s">
        <v>86</v>
      </c>
      <c r="B2792" s="4" t="str">
        <f>"2020041226"</f>
        <v>2020041226</v>
      </c>
      <c r="C2792" s="5">
        <v>66.2</v>
      </c>
      <c r="D2792" s="6">
        <v>72.5</v>
      </c>
      <c r="E2792" s="7">
        <f t="shared" si="43"/>
        <v>138.69999999999999</v>
      </c>
      <c r="F2792" s="8"/>
    </row>
    <row r="2793" spans="1:6" ht="18" customHeight="1">
      <c r="A2793" s="4" t="s">
        <v>86</v>
      </c>
      <c r="B2793" s="4" t="str">
        <f>"2020010602"</f>
        <v>2020010602</v>
      </c>
      <c r="C2793" s="5">
        <v>61.9</v>
      </c>
      <c r="D2793" s="6">
        <v>74</v>
      </c>
      <c r="E2793" s="7">
        <f t="shared" si="43"/>
        <v>135.9</v>
      </c>
      <c r="F2793" s="8"/>
    </row>
    <row r="2794" spans="1:6" ht="18" customHeight="1">
      <c r="A2794" s="4" t="s">
        <v>86</v>
      </c>
      <c r="B2794" s="4" t="str">
        <f>"2020010224"</f>
        <v>2020010224</v>
      </c>
      <c r="C2794" s="5">
        <v>66.3</v>
      </c>
      <c r="D2794" s="6">
        <v>68.5</v>
      </c>
      <c r="E2794" s="7">
        <f t="shared" si="43"/>
        <v>134.80000000000001</v>
      </c>
      <c r="F2794" s="8"/>
    </row>
    <row r="2795" spans="1:6" ht="18" customHeight="1">
      <c r="A2795" s="4" t="s">
        <v>86</v>
      </c>
      <c r="B2795" s="4" t="str">
        <f>"2020033527"</f>
        <v>2020033527</v>
      </c>
      <c r="C2795" s="5">
        <v>64.099999999999994</v>
      </c>
      <c r="D2795" s="6">
        <v>70.5</v>
      </c>
      <c r="E2795" s="7">
        <f t="shared" si="43"/>
        <v>134.6</v>
      </c>
      <c r="F2795" s="8"/>
    </row>
    <row r="2796" spans="1:6" ht="18" customHeight="1">
      <c r="A2796" s="4" t="s">
        <v>86</v>
      </c>
      <c r="B2796" s="4" t="str">
        <f>"2020045523"</f>
        <v>2020045523</v>
      </c>
      <c r="C2796" s="5">
        <v>64.3</v>
      </c>
      <c r="D2796" s="6">
        <v>67</v>
      </c>
      <c r="E2796" s="7">
        <f t="shared" si="43"/>
        <v>131.30000000000001</v>
      </c>
      <c r="F2796" s="8"/>
    </row>
    <row r="2797" spans="1:6" ht="18" customHeight="1">
      <c r="A2797" s="4" t="s">
        <v>86</v>
      </c>
      <c r="B2797" s="4" t="str">
        <f>"2020047616"</f>
        <v>2020047616</v>
      </c>
      <c r="C2797" s="5">
        <v>63.5</v>
      </c>
      <c r="D2797" s="6">
        <v>67.5</v>
      </c>
      <c r="E2797" s="7">
        <f t="shared" si="43"/>
        <v>131</v>
      </c>
      <c r="F2797" s="8"/>
    </row>
    <row r="2798" spans="1:6" ht="18" customHeight="1">
      <c r="A2798" s="4" t="s">
        <v>86</v>
      </c>
      <c r="B2798" s="4" t="str">
        <f>"2020043007"</f>
        <v>2020043007</v>
      </c>
      <c r="C2798" s="5">
        <v>67.400000000000006</v>
      </c>
      <c r="D2798" s="6">
        <v>60</v>
      </c>
      <c r="E2798" s="7">
        <f t="shared" si="43"/>
        <v>127.4</v>
      </c>
      <c r="F2798" s="8"/>
    </row>
    <row r="2799" spans="1:6" ht="18" customHeight="1">
      <c r="A2799" s="4" t="s">
        <v>86</v>
      </c>
      <c r="B2799" s="4" t="str">
        <f>"2020024428"</f>
        <v>2020024428</v>
      </c>
      <c r="C2799" s="5">
        <v>63.9</v>
      </c>
      <c r="D2799" s="6">
        <v>63.5</v>
      </c>
      <c r="E2799" s="7">
        <f t="shared" si="43"/>
        <v>127.4</v>
      </c>
      <c r="F2799" s="8"/>
    </row>
    <row r="2800" spans="1:6" ht="18" customHeight="1">
      <c r="A2800" s="4" t="s">
        <v>86</v>
      </c>
      <c r="B2800" s="4" t="str">
        <f>"2020030624"</f>
        <v>2020030624</v>
      </c>
      <c r="C2800" s="5">
        <v>59.1</v>
      </c>
      <c r="D2800" s="6">
        <v>65.5</v>
      </c>
      <c r="E2800" s="7">
        <f t="shared" si="43"/>
        <v>124.6</v>
      </c>
      <c r="F2800" s="8"/>
    </row>
    <row r="2801" spans="1:6" ht="18" customHeight="1">
      <c r="A2801" s="4" t="s">
        <v>86</v>
      </c>
      <c r="B2801" s="4" t="str">
        <f>"2020031019"</f>
        <v>2020031019</v>
      </c>
      <c r="C2801" s="5">
        <v>52</v>
      </c>
      <c r="D2801" s="6">
        <v>65.5</v>
      </c>
      <c r="E2801" s="7">
        <f t="shared" si="43"/>
        <v>117.5</v>
      </c>
      <c r="F2801" s="8"/>
    </row>
    <row r="2802" spans="1:6" ht="18" customHeight="1">
      <c r="A2802" s="4" t="s">
        <v>86</v>
      </c>
      <c r="B2802" s="4" t="str">
        <f>"2020012901"</f>
        <v>2020012901</v>
      </c>
      <c r="C2802" s="5">
        <v>53.4</v>
      </c>
      <c r="D2802" s="6">
        <v>63.5</v>
      </c>
      <c r="E2802" s="7">
        <f t="shared" si="43"/>
        <v>116.9</v>
      </c>
      <c r="F2802" s="8"/>
    </row>
    <row r="2803" spans="1:6" ht="18" customHeight="1">
      <c r="A2803" s="4" t="s">
        <v>86</v>
      </c>
      <c r="B2803" s="4" t="str">
        <f>"2020047027"</f>
        <v>2020047027</v>
      </c>
      <c r="C2803" s="5">
        <v>53.9</v>
      </c>
      <c r="D2803" s="6">
        <v>62.5</v>
      </c>
      <c r="E2803" s="7">
        <f t="shared" si="43"/>
        <v>116.4</v>
      </c>
      <c r="F2803" s="8"/>
    </row>
    <row r="2804" spans="1:6" ht="18" customHeight="1">
      <c r="A2804" s="4" t="s">
        <v>86</v>
      </c>
      <c r="B2804" s="4" t="str">
        <f>"2020012303"</f>
        <v>2020012303</v>
      </c>
      <c r="C2804" s="5">
        <v>0</v>
      </c>
      <c r="D2804" s="6">
        <v>0</v>
      </c>
      <c r="E2804" s="7">
        <f t="shared" si="43"/>
        <v>0</v>
      </c>
      <c r="F2804" s="9" t="s">
        <v>8</v>
      </c>
    </row>
    <row r="2805" spans="1:6" ht="18" customHeight="1">
      <c r="A2805" s="4" t="s">
        <v>86</v>
      </c>
      <c r="B2805" s="4" t="str">
        <f>"2020022101"</f>
        <v>2020022101</v>
      </c>
      <c r="C2805" s="5">
        <v>0</v>
      </c>
      <c r="D2805" s="6">
        <v>0</v>
      </c>
      <c r="E2805" s="7">
        <f t="shared" si="43"/>
        <v>0</v>
      </c>
      <c r="F2805" s="8" t="s">
        <v>8</v>
      </c>
    </row>
    <row r="2806" spans="1:6" ht="18" customHeight="1">
      <c r="A2806" s="4" t="s">
        <v>86</v>
      </c>
      <c r="B2806" s="4" t="str">
        <f>"2020030406"</f>
        <v>2020030406</v>
      </c>
      <c r="C2806" s="5">
        <v>0</v>
      </c>
      <c r="D2806" s="6">
        <v>0</v>
      </c>
      <c r="E2806" s="7">
        <f t="shared" si="43"/>
        <v>0</v>
      </c>
      <c r="F2806" s="8" t="s">
        <v>8</v>
      </c>
    </row>
    <row r="2807" spans="1:6" ht="18" customHeight="1">
      <c r="A2807" s="4" t="s">
        <v>86</v>
      </c>
      <c r="B2807" s="4" t="str">
        <f>"2020043228"</f>
        <v>2020043228</v>
      </c>
      <c r="C2807" s="5">
        <v>0</v>
      </c>
      <c r="D2807" s="6">
        <v>0</v>
      </c>
      <c r="E2807" s="7">
        <f t="shared" si="43"/>
        <v>0</v>
      </c>
      <c r="F2807" s="8" t="s">
        <v>8</v>
      </c>
    </row>
    <row r="2808" spans="1:6" ht="18" customHeight="1">
      <c r="A2808" s="4" t="s">
        <v>86</v>
      </c>
      <c r="B2808" s="4" t="str">
        <f>"2020044613"</f>
        <v>2020044613</v>
      </c>
      <c r="C2808" s="5">
        <v>0</v>
      </c>
      <c r="D2808" s="6">
        <v>0</v>
      </c>
      <c r="E2808" s="7">
        <f t="shared" si="43"/>
        <v>0</v>
      </c>
      <c r="F2808" s="8" t="s">
        <v>8</v>
      </c>
    </row>
    <row r="2809" spans="1:6" ht="18" customHeight="1">
      <c r="A2809" s="4" t="s">
        <v>87</v>
      </c>
      <c r="B2809" s="4" t="str">
        <f>"2020041515"</f>
        <v>2020041515</v>
      </c>
      <c r="C2809" s="5">
        <v>78.5</v>
      </c>
      <c r="D2809" s="6">
        <v>74</v>
      </c>
      <c r="E2809" s="7">
        <f t="shared" si="43"/>
        <v>152.5</v>
      </c>
      <c r="F2809" s="8"/>
    </row>
    <row r="2810" spans="1:6" ht="18" customHeight="1">
      <c r="A2810" s="4" t="s">
        <v>87</v>
      </c>
      <c r="B2810" s="4" t="str">
        <f>"2020046706"</f>
        <v>2020046706</v>
      </c>
      <c r="C2810" s="5">
        <v>73.400000000000006</v>
      </c>
      <c r="D2810" s="6">
        <v>76</v>
      </c>
      <c r="E2810" s="7">
        <f t="shared" si="43"/>
        <v>149.4</v>
      </c>
      <c r="F2810" s="8"/>
    </row>
    <row r="2811" spans="1:6" ht="18" customHeight="1">
      <c r="A2811" s="4" t="s">
        <v>87</v>
      </c>
      <c r="B2811" s="4" t="str">
        <f>"2020024721"</f>
        <v>2020024721</v>
      </c>
      <c r="C2811" s="5">
        <v>69</v>
      </c>
      <c r="D2811" s="6">
        <v>79.5</v>
      </c>
      <c r="E2811" s="7">
        <f t="shared" si="43"/>
        <v>148.5</v>
      </c>
      <c r="F2811" s="8"/>
    </row>
    <row r="2812" spans="1:6" ht="18" customHeight="1">
      <c r="A2812" s="4" t="s">
        <v>87</v>
      </c>
      <c r="B2812" s="4" t="str">
        <f>"2020023128"</f>
        <v>2020023128</v>
      </c>
      <c r="C2812" s="5">
        <v>73.7</v>
      </c>
      <c r="D2812" s="6">
        <v>67.5</v>
      </c>
      <c r="E2812" s="7">
        <f t="shared" si="43"/>
        <v>141.19999999999999</v>
      </c>
      <c r="F2812" s="8"/>
    </row>
    <row r="2813" spans="1:6" ht="18" customHeight="1">
      <c r="A2813" s="4" t="s">
        <v>87</v>
      </c>
      <c r="B2813" s="4" t="str">
        <f>"2020040107"</f>
        <v>2020040107</v>
      </c>
      <c r="C2813" s="5">
        <v>72.5</v>
      </c>
      <c r="D2813" s="6">
        <v>68.5</v>
      </c>
      <c r="E2813" s="7">
        <f t="shared" si="43"/>
        <v>141</v>
      </c>
      <c r="F2813" s="8"/>
    </row>
    <row r="2814" spans="1:6" ht="18" customHeight="1">
      <c r="A2814" s="4" t="s">
        <v>87</v>
      </c>
      <c r="B2814" s="4" t="str">
        <f>"2020023213"</f>
        <v>2020023213</v>
      </c>
      <c r="C2814" s="5">
        <v>63.1</v>
      </c>
      <c r="D2814" s="6">
        <v>77.5</v>
      </c>
      <c r="E2814" s="7">
        <f t="shared" si="43"/>
        <v>140.6</v>
      </c>
      <c r="F2814" s="8"/>
    </row>
    <row r="2815" spans="1:6" ht="18" customHeight="1">
      <c r="A2815" s="4" t="s">
        <v>87</v>
      </c>
      <c r="B2815" s="4" t="str">
        <f>"2020012923"</f>
        <v>2020012923</v>
      </c>
      <c r="C2815" s="5">
        <v>70.3</v>
      </c>
      <c r="D2815" s="6">
        <v>69.5</v>
      </c>
      <c r="E2815" s="7">
        <f t="shared" si="43"/>
        <v>139.80000000000001</v>
      </c>
      <c r="F2815" s="8"/>
    </row>
    <row r="2816" spans="1:6" ht="18" customHeight="1">
      <c r="A2816" s="4" t="s">
        <v>87</v>
      </c>
      <c r="B2816" s="4" t="str">
        <f>"2020033625"</f>
        <v>2020033625</v>
      </c>
      <c r="C2816" s="5">
        <v>69.900000000000006</v>
      </c>
      <c r="D2816" s="6">
        <v>64.5</v>
      </c>
      <c r="E2816" s="7">
        <f t="shared" si="43"/>
        <v>134.4</v>
      </c>
      <c r="F2816" s="8"/>
    </row>
    <row r="2817" spans="1:6" ht="18" customHeight="1">
      <c r="A2817" s="4" t="s">
        <v>87</v>
      </c>
      <c r="B2817" s="4" t="str">
        <f>"2020011716"</f>
        <v>2020011716</v>
      </c>
      <c r="C2817" s="5">
        <v>59.4</v>
      </c>
      <c r="D2817" s="6">
        <v>71</v>
      </c>
      <c r="E2817" s="7">
        <f t="shared" si="43"/>
        <v>130.4</v>
      </c>
      <c r="F2817" s="8"/>
    </row>
    <row r="2818" spans="1:6" ht="18" customHeight="1">
      <c r="A2818" s="4" t="s">
        <v>87</v>
      </c>
      <c r="B2818" s="4" t="str">
        <f>"2020030807"</f>
        <v>2020030807</v>
      </c>
      <c r="C2818" s="5">
        <v>64.8</v>
      </c>
      <c r="D2818" s="6">
        <v>65.5</v>
      </c>
      <c r="E2818" s="7">
        <f t="shared" si="43"/>
        <v>130.30000000000001</v>
      </c>
      <c r="F2818" s="8"/>
    </row>
    <row r="2819" spans="1:6" ht="18" customHeight="1">
      <c r="A2819" s="4" t="s">
        <v>87</v>
      </c>
      <c r="B2819" s="4" t="str">
        <f>"2020010324"</f>
        <v>2020010324</v>
      </c>
      <c r="C2819" s="5">
        <v>61.4</v>
      </c>
      <c r="D2819" s="6">
        <v>66.5</v>
      </c>
      <c r="E2819" s="7">
        <f t="shared" ref="E2819:E2882" si="44">SUM(C2819:D2819)</f>
        <v>127.9</v>
      </c>
      <c r="F2819" s="8"/>
    </row>
    <row r="2820" spans="1:6" ht="18" customHeight="1">
      <c r="A2820" s="4" t="s">
        <v>87</v>
      </c>
      <c r="B2820" s="4" t="str">
        <f>"2020031409"</f>
        <v>2020031409</v>
      </c>
      <c r="C2820" s="5">
        <v>65.2</v>
      </c>
      <c r="D2820" s="6">
        <v>56</v>
      </c>
      <c r="E2820" s="7">
        <f t="shared" si="44"/>
        <v>121.2</v>
      </c>
      <c r="F2820" s="8"/>
    </row>
    <row r="2821" spans="1:6" ht="18" customHeight="1">
      <c r="A2821" s="4" t="s">
        <v>87</v>
      </c>
      <c r="B2821" s="4" t="str">
        <f>"2020032722"</f>
        <v>2020032722</v>
      </c>
      <c r="C2821" s="5">
        <v>60.5</v>
      </c>
      <c r="D2821" s="6">
        <v>57.5</v>
      </c>
      <c r="E2821" s="7">
        <f t="shared" si="44"/>
        <v>118</v>
      </c>
      <c r="F2821" s="8"/>
    </row>
    <row r="2822" spans="1:6" ht="18" customHeight="1">
      <c r="A2822" s="4" t="s">
        <v>87</v>
      </c>
      <c r="B2822" s="4" t="str">
        <f>"2020022717"</f>
        <v>2020022717</v>
      </c>
      <c r="C2822" s="5">
        <v>66.900000000000006</v>
      </c>
      <c r="D2822" s="6">
        <v>46.5</v>
      </c>
      <c r="E2822" s="7">
        <f t="shared" si="44"/>
        <v>113.4</v>
      </c>
      <c r="F2822" s="8"/>
    </row>
    <row r="2823" spans="1:6" ht="18" customHeight="1">
      <c r="A2823" s="4" t="s">
        <v>87</v>
      </c>
      <c r="B2823" s="4" t="str">
        <f>"2020020307"</f>
        <v>2020020307</v>
      </c>
      <c r="C2823" s="5">
        <v>0</v>
      </c>
      <c r="D2823" s="6">
        <v>0</v>
      </c>
      <c r="E2823" s="7">
        <f t="shared" si="44"/>
        <v>0</v>
      </c>
      <c r="F2823" s="8" t="s">
        <v>8</v>
      </c>
    </row>
    <row r="2824" spans="1:6" ht="18" customHeight="1">
      <c r="A2824" s="4" t="s">
        <v>87</v>
      </c>
      <c r="B2824" s="4" t="str">
        <f>"2020032226"</f>
        <v>2020032226</v>
      </c>
      <c r="C2824" s="5">
        <v>0</v>
      </c>
      <c r="D2824" s="6">
        <v>0</v>
      </c>
      <c r="E2824" s="7">
        <f t="shared" si="44"/>
        <v>0</v>
      </c>
      <c r="F2824" s="8" t="s">
        <v>8</v>
      </c>
    </row>
    <row r="2825" spans="1:6" ht="18" customHeight="1">
      <c r="A2825" s="4" t="s">
        <v>87</v>
      </c>
      <c r="B2825" s="4" t="str">
        <f>"2020033325"</f>
        <v>2020033325</v>
      </c>
      <c r="C2825" s="5">
        <v>0</v>
      </c>
      <c r="D2825" s="6">
        <v>0</v>
      </c>
      <c r="E2825" s="7">
        <f t="shared" si="44"/>
        <v>0</v>
      </c>
      <c r="F2825" s="8" t="s">
        <v>8</v>
      </c>
    </row>
    <row r="2826" spans="1:6" ht="18" customHeight="1">
      <c r="A2826" s="4" t="s">
        <v>87</v>
      </c>
      <c r="B2826" s="4" t="str">
        <f>"2020043727"</f>
        <v>2020043727</v>
      </c>
      <c r="C2826" s="5">
        <v>0</v>
      </c>
      <c r="D2826" s="6">
        <v>0</v>
      </c>
      <c r="E2826" s="7">
        <f t="shared" si="44"/>
        <v>0</v>
      </c>
      <c r="F2826" s="8" t="s">
        <v>8</v>
      </c>
    </row>
    <row r="2827" spans="1:6" ht="18" customHeight="1">
      <c r="A2827" s="4" t="s">
        <v>88</v>
      </c>
      <c r="B2827" s="4" t="str">
        <f>"2020013817"</f>
        <v>2020013817</v>
      </c>
      <c r="C2827" s="5">
        <v>75.400000000000006</v>
      </c>
      <c r="D2827" s="6">
        <v>73.5</v>
      </c>
      <c r="E2827" s="7">
        <f t="shared" si="44"/>
        <v>148.9</v>
      </c>
      <c r="F2827" s="8"/>
    </row>
    <row r="2828" spans="1:6" ht="18" customHeight="1">
      <c r="A2828" s="4" t="s">
        <v>88</v>
      </c>
      <c r="B2828" s="4" t="str">
        <f>"2020024423"</f>
        <v>2020024423</v>
      </c>
      <c r="C2828" s="5">
        <v>68.7</v>
      </c>
      <c r="D2828" s="6">
        <v>78.5</v>
      </c>
      <c r="E2828" s="7">
        <f t="shared" si="44"/>
        <v>147.19999999999999</v>
      </c>
      <c r="F2828" s="8"/>
    </row>
    <row r="2829" spans="1:6" ht="18" customHeight="1">
      <c r="A2829" s="4" t="s">
        <v>88</v>
      </c>
      <c r="B2829" s="4" t="str">
        <f>"2020013821"</f>
        <v>2020013821</v>
      </c>
      <c r="C2829" s="5">
        <v>68.5</v>
      </c>
      <c r="D2829" s="6">
        <v>78</v>
      </c>
      <c r="E2829" s="7">
        <f t="shared" si="44"/>
        <v>146.5</v>
      </c>
      <c r="F2829" s="8"/>
    </row>
    <row r="2830" spans="1:6" ht="18" customHeight="1">
      <c r="A2830" s="4" t="s">
        <v>88</v>
      </c>
      <c r="B2830" s="4" t="str">
        <f>"2020045718"</f>
        <v>2020045718</v>
      </c>
      <c r="C2830" s="5">
        <v>66.3</v>
      </c>
      <c r="D2830" s="6">
        <v>80</v>
      </c>
      <c r="E2830" s="7">
        <f t="shared" si="44"/>
        <v>146.30000000000001</v>
      </c>
      <c r="F2830" s="8"/>
    </row>
    <row r="2831" spans="1:6" ht="18" customHeight="1">
      <c r="A2831" s="4" t="s">
        <v>88</v>
      </c>
      <c r="B2831" s="4" t="str">
        <f>"2020033620"</f>
        <v>2020033620</v>
      </c>
      <c r="C2831" s="5">
        <v>65.599999999999994</v>
      </c>
      <c r="D2831" s="6">
        <v>76.5</v>
      </c>
      <c r="E2831" s="7">
        <f t="shared" si="44"/>
        <v>142.1</v>
      </c>
      <c r="F2831" s="8"/>
    </row>
    <row r="2832" spans="1:6" ht="18" customHeight="1">
      <c r="A2832" s="4" t="s">
        <v>88</v>
      </c>
      <c r="B2832" s="4" t="str">
        <f>"2020045202"</f>
        <v>2020045202</v>
      </c>
      <c r="C2832" s="5">
        <v>65.3</v>
      </c>
      <c r="D2832" s="6">
        <v>76</v>
      </c>
      <c r="E2832" s="7">
        <f t="shared" si="44"/>
        <v>141.30000000000001</v>
      </c>
      <c r="F2832" s="8"/>
    </row>
    <row r="2833" spans="1:6" ht="18" customHeight="1">
      <c r="A2833" s="4" t="s">
        <v>88</v>
      </c>
      <c r="B2833" s="4" t="str">
        <f>"2020011608"</f>
        <v>2020011608</v>
      </c>
      <c r="C2833" s="5">
        <v>63.7</v>
      </c>
      <c r="D2833" s="6">
        <v>77</v>
      </c>
      <c r="E2833" s="7">
        <f t="shared" si="44"/>
        <v>140.69999999999999</v>
      </c>
      <c r="F2833" s="8"/>
    </row>
    <row r="2834" spans="1:6" ht="18" customHeight="1">
      <c r="A2834" s="4" t="s">
        <v>88</v>
      </c>
      <c r="B2834" s="4" t="str">
        <f>"2020020725"</f>
        <v>2020020725</v>
      </c>
      <c r="C2834" s="5">
        <v>63</v>
      </c>
      <c r="D2834" s="6">
        <v>75</v>
      </c>
      <c r="E2834" s="7">
        <f t="shared" si="44"/>
        <v>138</v>
      </c>
      <c r="F2834" s="8"/>
    </row>
    <row r="2835" spans="1:6" ht="18" customHeight="1">
      <c r="A2835" s="4" t="s">
        <v>88</v>
      </c>
      <c r="B2835" s="4" t="str">
        <f>"2020046212"</f>
        <v>2020046212</v>
      </c>
      <c r="C2835" s="5">
        <v>61.8</v>
      </c>
      <c r="D2835" s="6">
        <v>72.5</v>
      </c>
      <c r="E2835" s="7">
        <f t="shared" si="44"/>
        <v>134.30000000000001</v>
      </c>
      <c r="F2835" s="8"/>
    </row>
    <row r="2836" spans="1:6" ht="18" customHeight="1">
      <c r="A2836" s="4" t="s">
        <v>88</v>
      </c>
      <c r="B2836" s="4" t="str">
        <f>"2020030308"</f>
        <v>2020030308</v>
      </c>
      <c r="C2836" s="5">
        <v>61.8</v>
      </c>
      <c r="D2836" s="6">
        <v>70</v>
      </c>
      <c r="E2836" s="7">
        <f t="shared" si="44"/>
        <v>131.80000000000001</v>
      </c>
      <c r="F2836" s="8"/>
    </row>
    <row r="2837" spans="1:6" ht="18" customHeight="1">
      <c r="A2837" s="4" t="s">
        <v>88</v>
      </c>
      <c r="B2837" s="4" t="str">
        <f>"2020012230"</f>
        <v>2020012230</v>
      </c>
      <c r="C2837" s="5">
        <v>63.7</v>
      </c>
      <c r="D2837" s="6">
        <v>67.5</v>
      </c>
      <c r="E2837" s="7">
        <f t="shared" si="44"/>
        <v>131.19999999999999</v>
      </c>
      <c r="F2837" s="8"/>
    </row>
    <row r="2838" spans="1:6" ht="18" customHeight="1">
      <c r="A2838" s="4" t="s">
        <v>88</v>
      </c>
      <c r="B2838" s="4" t="str">
        <f>"2020030408"</f>
        <v>2020030408</v>
      </c>
      <c r="C2838" s="5">
        <v>58.7</v>
      </c>
      <c r="D2838" s="6">
        <v>71.5</v>
      </c>
      <c r="E2838" s="7">
        <f t="shared" si="44"/>
        <v>130.19999999999999</v>
      </c>
      <c r="F2838" s="8"/>
    </row>
    <row r="2839" spans="1:6" ht="18" customHeight="1">
      <c r="A2839" s="4" t="s">
        <v>88</v>
      </c>
      <c r="B2839" s="4" t="str">
        <f>"2020043230"</f>
        <v>2020043230</v>
      </c>
      <c r="C2839" s="5">
        <v>62.4</v>
      </c>
      <c r="D2839" s="6">
        <v>64.5</v>
      </c>
      <c r="E2839" s="7">
        <f t="shared" si="44"/>
        <v>126.9</v>
      </c>
      <c r="F2839" s="8"/>
    </row>
    <row r="2840" spans="1:6" ht="18" customHeight="1">
      <c r="A2840" s="4" t="s">
        <v>88</v>
      </c>
      <c r="B2840" s="4" t="str">
        <f>"2020041123"</f>
        <v>2020041123</v>
      </c>
      <c r="C2840" s="5">
        <v>62.3</v>
      </c>
      <c r="D2840" s="6">
        <v>59</v>
      </c>
      <c r="E2840" s="7">
        <f t="shared" si="44"/>
        <v>121.3</v>
      </c>
      <c r="F2840" s="8"/>
    </row>
    <row r="2841" spans="1:6" ht="18" customHeight="1">
      <c r="A2841" s="4" t="s">
        <v>88</v>
      </c>
      <c r="B2841" s="4" t="str">
        <f>"2020042614"</f>
        <v>2020042614</v>
      </c>
      <c r="C2841" s="5">
        <v>60.8</v>
      </c>
      <c r="D2841" s="6">
        <v>60.5</v>
      </c>
      <c r="E2841" s="7">
        <f t="shared" si="44"/>
        <v>121.3</v>
      </c>
      <c r="F2841" s="8"/>
    </row>
    <row r="2842" spans="1:6" ht="18" customHeight="1">
      <c r="A2842" s="4" t="s">
        <v>88</v>
      </c>
      <c r="B2842" s="4" t="str">
        <f>"2020043427"</f>
        <v>2020043427</v>
      </c>
      <c r="C2842" s="5">
        <v>54.5</v>
      </c>
      <c r="D2842" s="6">
        <v>65.5</v>
      </c>
      <c r="E2842" s="7">
        <f t="shared" si="44"/>
        <v>120</v>
      </c>
      <c r="F2842" s="8"/>
    </row>
    <row r="2843" spans="1:6" ht="18" customHeight="1">
      <c r="A2843" s="4" t="s">
        <v>88</v>
      </c>
      <c r="B2843" s="4" t="str">
        <f>"2020020207"</f>
        <v>2020020207</v>
      </c>
      <c r="C2843" s="5">
        <v>0</v>
      </c>
      <c r="D2843" s="6">
        <v>0</v>
      </c>
      <c r="E2843" s="7">
        <f t="shared" si="44"/>
        <v>0</v>
      </c>
      <c r="F2843" s="8" t="s">
        <v>8</v>
      </c>
    </row>
    <row r="2844" spans="1:6" ht="18" customHeight="1">
      <c r="A2844" s="4" t="s">
        <v>88</v>
      </c>
      <c r="B2844" s="4" t="str">
        <f>"2020022227"</f>
        <v>2020022227</v>
      </c>
      <c r="C2844" s="5">
        <v>0</v>
      </c>
      <c r="D2844" s="6">
        <v>0</v>
      </c>
      <c r="E2844" s="7">
        <f t="shared" si="44"/>
        <v>0</v>
      </c>
      <c r="F2844" s="8" t="s">
        <v>8</v>
      </c>
    </row>
    <row r="2845" spans="1:6" ht="18" customHeight="1">
      <c r="A2845" s="4" t="s">
        <v>88</v>
      </c>
      <c r="B2845" s="4" t="str">
        <f>"2020022625"</f>
        <v>2020022625</v>
      </c>
      <c r="C2845" s="5">
        <v>0</v>
      </c>
      <c r="D2845" s="6">
        <v>0</v>
      </c>
      <c r="E2845" s="7">
        <f t="shared" si="44"/>
        <v>0</v>
      </c>
      <c r="F2845" s="8" t="s">
        <v>8</v>
      </c>
    </row>
    <row r="2846" spans="1:6" ht="18" customHeight="1">
      <c r="A2846" s="4" t="s">
        <v>88</v>
      </c>
      <c r="B2846" s="4" t="str">
        <f>"2020023130"</f>
        <v>2020023130</v>
      </c>
      <c r="C2846" s="5">
        <v>0</v>
      </c>
      <c r="D2846" s="6">
        <v>0</v>
      </c>
      <c r="E2846" s="7">
        <f t="shared" si="44"/>
        <v>0</v>
      </c>
      <c r="F2846" s="8" t="s">
        <v>8</v>
      </c>
    </row>
    <row r="2847" spans="1:6" ht="18" customHeight="1">
      <c r="A2847" s="4" t="s">
        <v>88</v>
      </c>
      <c r="B2847" s="4" t="str">
        <f>"2020031416"</f>
        <v>2020031416</v>
      </c>
      <c r="C2847" s="5">
        <v>0</v>
      </c>
      <c r="D2847" s="6">
        <v>0</v>
      </c>
      <c r="E2847" s="7">
        <f t="shared" si="44"/>
        <v>0</v>
      </c>
      <c r="F2847" s="8" t="s">
        <v>8</v>
      </c>
    </row>
    <row r="2848" spans="1:6" ht="18" customHeight="1">
      <c r="A2848" s="4" t="s">
        <v>88</v>
      </c>
      <c r="B2848" s="4" t="str">
        <f>"2020032718"</f>
        <v>2020032718</v>
      </c>
      <c r="C2848" s="5">
        <v>0</v>
      </c>
      <c r="D2848" s="6">
        <v>0</v>
      </c>
      <c r="E2848" s="7">
        <f t="shared" si="44"/>
        <v>0</v>
      </c>
      <c r="F2848" s="8" t="s">
        <v>8</v>
      </c>
    </row>
    <row r="2849" spans="1:6" ht="18" customHeight="1">
      <c r="A2849" s="4" t="s">
        <v>88</v>
      </c>
      <c r="B2849" s="4" t="str">
        <f>"2020033924"</f>
        <v>2020033924</v>
      </c>
      <c r="C2849" s="5">
        <v>0</v>
      </c>
      <c r="D2849" s="6">
        <v>0</v>
      </c>
      <c r="E2849" s="7">
        <f t="shared" si="44"/>
        <v>0</v>
      </c>
      <c r="F2849" s="8" t="s">
        <v>8</v>
      </c>
    </row>
    <row r="2850" spans="1:6" ht="18" customHeight="1">
      <c r="A2850" s="4" t="s">
        <v>88</v>
      </c>
      <c r="B2850" s="4" t="str">
        <f>"2020041911"</f>
        <v>2020041911</v>
      </c>
      <c r="C2850" s="5">
        <v>0</v>
      </c>
      <c r="D2850" s="6">
        <v>0</v>
      </c>
      <c r="E2850" s="7">
        <f t="shared" si="44"/>
        <v>0</v>
      </c>
      <c r="F2850" s="8" t="s">
        <v>8</v>
      </c>
    </row>
    <row r="2851" spans="1:6" ht="18" customHeight="1">
      <c r="A2851" s="4" t="s">
        <v>88</v>
      </c>
      <c r="B2851" s="4" t="str">
        <f>"2020044825"</f>
        <v>2020044825</v>
      </c>
      <c r="C2851" s="5">
        <v>0</v>
      </c>
      <c r="D2851" s="6">
        <v>0</v>
      </c>
      <c r="E2851" s="7">
        <f t="shared" si="44"/>
        <v>0</v>
      </c>
      <c r="F2851" s="8" t="s">
        <v>8</v>
      </c>
    </row>
    <row r="2852" spans="1:6" ht="18" customHeight="1">
      <c r="A2852" s="4" t="s">
        <v>88</v>
      </c>
      <c r="B2852" s="4" t="str">
        <f>"2020047611"</f>
        <v>2020047611</v>
      </c>
      <c r="C2852" s="5">
        <v>0</v>
      </c>
      <c r="D2852" s="6">
        <v>0</v>
      </c>
      <c r="E2852" s="7">
        <f t="shared" si="44"/>
        <v>0</v>
      </c>
      <c r="F2852" s="8" t="s">
        <v>8</v>
      </c>
    </row>
    <row r="2853" spans="1:6" ht="18" customHeight="1">
      <c r="A2853" s="4" t="s">
        <v>89</v>
      </c>
      <c r="B2853" s="4" t="str">
        <f>"2020040621"</f>
        <v>2020040621</v>
      </c>
      <c r="C2853" s="5">
        <v>73.099999999999994</v>
      </c>
      <c r="D2853" s="6">
        <v>60.5</v>
      </c>
      <c r="E2853" s="7">
        <f t="shared" si="44"/>
        <v>133.6</v>
      </c>
      <c r="F2853" s="8"/>
    </row>
    <row r="2854" spans="1:6" ht="18" customHeight="1">
      <c r="A2854" s="4" t="s">
        <v>89</v>
      </c>
      <c r="B2854" s="4" t="str">
        <f>"2020040508"</f>
        <v>2020040508</v>
      </c>
      <c r="C2854" s="5">
        <v>69.900000000000006</v>
      </c>
      <c r="D2854" s="6">
        <v>63.5</v>
      </c>
      <c r="E2854" s="7">
        <f t="shared" si="44"/>
        <v>133.4</v>
      </c>
      <c r="F2854" s="8"/>
    </row>
    <row r="2855" spans="1:6" ht="18" customHeight="1">
      <c r="A2855" s="4" t="s">
        <v>89</v>
      </c>
      <c r="B2855" s="4" t="str">
        <f>"2020010220"</f>
        <v>2020010220</v>
      </c>
      <c r="C2855" s="5">
        <v>64.400000000000006</v>
      </c>
      <c r="D2855" s="6">
        <v>62.5</v>
      </c>
      <c r="E2855" s="7">
        <f t="shared" si="44"/>
        <v>126.9</v>
      </c>
      <c r="F2855" s="8"/>
    </row>
    <row r="2856" spans="1:6" ht="18" customHeight="1">
      <c r="A2856" s="4" t="s">
        <v>89</v>
      </c>
      <c r="B2856" s="4" t="str">
        <f>"2020040328"</f>
        <v>2020040328</v>
      </c>
      <c r="C2856" s="5">
        <v>62</v>
      </c>
      <c r="D2856" s="6">
        <v>63</v>
      </c>
      <c r="E2856" s="7">
        <f t="shared" si="44"/>
        <v>125</v>
      </c>
      <c r="F2856" s="8"/>
    </row>
    <row r="2857" spans="1:6" ht="18" customHeight="1">
      <c r="A2857" s="4" t="s">
        <v>89</v>
      </c>
      <c r="B2857" s="4" t="str">
        <f>"2020046808"</f>
        <v>2020046808</v>
      </c>
      <c r="C2857" s="5">
        <v>64.8</v>
      </c>
      <c r="D2857" s="6">
        <v>58.5</v>
      </c>
      <c r="E2857" s="7">
        <f t="shared" si="44"/>
        <v>123.3</v>
      </c>
      <c r="F2857" s="8"/>
    </row>
    <row r="2858" spans="1:6" ht="18" customHeight="1">
      <c r="A2858" s="4" t="s">
        <v>89</v>
      </c>
      <c r="B2858" s="4" t="str">
        <f>"2020040623"</f>
        <v>2020040623</v>
      </c>
      <c r="C2858" s="5">
        <v>54.1</v>
      </c>
      <c r="D2858" s="6">
        <v>65.5</v>
      </c>
      <c r="E2858" s="7">
        <f t="shared" si="44"/>
        <v>119.6</v>
      </c>
      <c r="F2858" s="8"/>
    </row>
    <row r="2859" spans="1:6" ht="18" customHeight="1">
      <c r="A2859" s="4" t="s">
        <v>89</v>
      </c>
      <c r="B2859" s="4" t="str">
        <f>"2020013015"</f>
        <v>2020013015</v>
      </c>
      <c r="C2859" s="5">
        <v>62.3</v>
      </c>
      <c r="D2859" s="6">
        <v>57</v>
      </c>
      <c r="E2859" s="7">
        <f t="shared" si="44"/>
        <v>119.3</v>
      </c>
      <c r="F2859" s="8"/>
    </row>
    <row r="2860" spans="1:6" ht="18" customHeight="1">
      <c r="A2860" s="4" t="s">
        <v>89</v>
      </c>
      <c r="B2860" s="4" t="str">
        <f>"2020022430"</f>
        <v>2020022430</v>
      </c>
      <c r="C2860" s="5">
        <v>0</v>
      </c>
      <c r="D2860" s="6">
        <v>0</v>
      </c>
      <c r="E2860" s="7">
        <f t="shared" si="44"/>
        <v>0</v>
      </c>
      <c r="F2860" s="8" t="s">
        <v>8</v>
      </c>
    </row>
    <row r="2861" spans="1:6" ht="18" customHeight="1">
      <c r="A2861" s="4" t="s">
        <v>90</v>
      </c>
      <c r="B2861" s="4" t="str">
        <f>"2020010517"</f>
        <v>2020010517</v>
      </c>
      <c r="C2861" s="5">
        <v>76.7</v>
      </c>
      <c r="D2861" s="6">
        <v>83</v>
      </c>
      <c r="E2861" s="7">
        <f t="shared" si="44"/>
        <v>159.69999999999999</v>
      </c>
      <c r="F2861" s="8"/>
    </row>
    <row r="2862" spans="1:6" ht="18" customHeight="1">
      <c r="A2862" s="4" t="s">
        <v>90</v>
      </c>
      <c r="B2862" s="4" t="str">
        <f>"2020044226"</f>
        <v>2020044226</v>
      </c>
      <c r="C2862" s="5">
        <v>75.3</v>
      </c>
      <c r="D2862" s="6">
        <v>82</v>
      </c>
      <c r="E2862" s="7">
        <f t="shared" si="44"/>
        <v>157.30000000000001</v>
      </c>
      <c r="F2862" s="8"/>
    </row>
    <row r="2863" spans="1:6" ht="18" customHeight="1">
      <c r="A2863" s="4" t="s">
        <v>90</v>
      </c>
      <c r="B2863" s="4" t="str">
        <f>"2020045618"</f>
        <v>2020045618</v>
      </c>
      <c r="C2863" s="5">
        <v>68</v>
      </c>
      <c r="D2863" s="6">
        <v>85</v>
      </c>
      <c r="E2863" s="7">
        <f t="shared" si="44"/>
        <v>153</v>
      </c>
      <c r="F2863" s="8"/>
    </row>
    <row r="2864" spans="1:6" ht="18" customHeight="1">
      <c r="A2864" s="4" t="s">
        <v>90</v>
      </c>
      <c r="B2864" s="4" t="str">
        <f>"2020023620"</f>
        <v>2020023620</v>
      </c>
      <c r="C2864" s="5">
        <v>68.5</v>
      </c>
      <c r="D2864" s="6">
        <v>83</v>
      </c>
      <c r="E2864" s="7">
        <f t="shared" si="44"/>
        <v>151.5</v>
      </c>
      <c r="F2864" s="8"/>
    </row>
    <row r="2865" spans="1:6" ht="18" customHeight="1">
      <c r="A2865" s="4" t="s">
        <v>90</v>
      </c>
      <c r="B2865" s="4" t="str">
        <f>"2020013527"</f>
        <v>2020013527</v>
      </c>
      <c r="C2865" s="5">
        <v>69.900000000000006</v>
      </c>
      <c r="D2865" s="6">
        <v>81</v>
      </c>
      <c r="E2865" s="7">
        <f t="shared" si="44"/>
        <v>150.9</v>
      </c>
      <c r="F2865" s="8"/>
    </row>
    <row r="2866" spans="1:6" ht="18" customHeight="1">
      <c r="A2866" s="4" t="s">
        <v>90</v>
      </c>
      <c r="B2866" s="4" t="str">
        <f>"2020041311"</f>
        <v>2020041311</v>
      </c>
      <c r="C2866" s="5">
        <v>76.3</v>
      </c>
      <c r="D2866" s="6">
        <v>74.5</v>
      </c>
      <c r="E2866" s="7">
        <f t="shared" si="44"/>
        <v>150.80000000000001</v>
      </c>
      <c r="F2866" s="8"/>
    </row>
    <row r="2867" spans="1:6" ht="18" customHeight="1">
      <c r="A2867" s="4" t="s">
        <v>90</v>
      </c>
      <c r="B2867" s="4" t="str">
        <f>"2020020410"</f>
        <v>2020020410</v>
      </c>
      <c r="C2867" s="5">
        <v>71</v>
      </c>
      <c r="D2867" s="6">
        <v>79.5</v>
      </c>
      <c r="E2867" s="7">
        <f t="shared" si="44"/>
        <v>150.5</v>
      </c>
      <c r="F2867" s="8"/>
    </row>
    <row r="2868" spans="1:6" ht="18" customHeight="1">
      <c r="A2868" s="4" t="s">
        <v>90</v>
      </c>
      <c r="B2868" s="4" t="str">
        <f>"2020024504"</f>
        <v>2020024504</v>
      </c>
      <c r="C2868" s="5">
        <v>74.099999999999994</v>
      </c>
      <c r="D2868" s="6">
        <v>75.5</v>
      </c>
      <c r="E2868" s="7">
        <f t="shared" si="44"/>
        <v>149.6</v>
      </c>
      <c r="F2868" s="8"/>
    </row>
    <row r="2869" spans="1:6" ht="18" customHeight="1">
      <c r="A2869" s="4" t="s">
        <v>90</v>
      </c>
      <c r="B2869" s="4" t="str">
        <f>"2020047107"</f>
        <v>2020047107</v>
      </c>
      <c r="C2869" s="5">
        <v>75.099999999999994</v>
      </c>
      <c r="D2869" s="6">
        <v>71.5</v>
      </c>
      <c r="E2869" s="7">
        <f t="shared" si="44"/>
        <v>146.6</v>
      </c>
      <c r="F2869" s="8"/>
    </row>
    <row r="2870" spans="1:6" ht="18" customHeight="1">
      <c r="A2870" s="4" t="s">
        <v>90</v>
      </c>
      <c r="B2870" s="4" t="str">
        <f>"2020024109"</f>
        <v>2020024109</v>
      </c>
      <c r="C2870" s="5">
        <v>73.099999999999994</v>
      </c>
      <c r="D2870" s="6">
        <v>72</v>
      </c>
      <c r="E2870" s="7">
        <f t="shared" si="44"/>
        <v>145.1</v>
      </c>
      <c r="F2870" s="8"/>
    </row>
    <row r="2871" spans="1:6" ht="18" customHeight="1">
      <c r="A2871" s="4" t="s">
        <v>90</v>
      </c>
      <c r="B2871" s="4" t="str">
        <f>"2020032922"</f>
        <v>2020032922</v>
      </c>
      <c r="C2871" s="5">
        <v>73.099999999999994</v>
      </c>
      <c r="D2871" s="6">
        <v>68.5</v>
      </c>
      <c r="E2871" s="7">
        <f t="shared" si="44"/>
        <v>141.6</v>
      </c>
      <c r="F2871" s="8"/>
    </row>
    <row r="2872" spans="1:6" ht="18" customHeight="1">
      <c r="A2872" s="4" t="s">
        <v>90</v>
      </c>
      <c r="B2872" s="4" t="str">
        <f>"2020020826"</f>
        <v>2020020826</v>
      </c>
      <c r="C2872" s="5">
        <v>68.099999999999994</v>
      </c>
      <c r="D2872" s="6">
        <v>70.5</v>
      </c>
      <c r="E2872" s="7">
        <f t="shared" si="44"/>
        <v>138.6</v>
      </c>
      <c r="F2872" s="8"/>
    </row>
    <row r="2873" spans="1:6" ht="18" customHeight="1">
      <c r="A2873" s="4" t="s">
        <v>90</v>
      </c>
      <c r="B2873" s="4" t="str">
        <f>"2020013028"</f>
        <v>2020013028</v>
      </c>
      <c r="C2873" s="5">
        <v>66.3</v>
      </c>
      <c r="D2873" s="6">
        <v>72</v>
      </c>
      <c r="E2873" s="7">
        <f t="shared" si="44"/>
        <v>138.30000000000001</v>
      </c>
      <c r="F2873" s="8"/>
    </row>
    <row r="2874" spans="1:6" ht="18" customHeight="1">
      <c r="A2874" s="4" t="s">
        <v>90</v>
      </c>
      <c r="B2874" s="4" t="str">
        <f>"2020042821"</f>
        <v>2020042821</v>
      </c>
      <c r="C2874" s="5">
        <v>67.7</v>
      </c>
      <c r="D2874" s="6">
        <v>70</v>
      </c>
      <c r="E2874" s="7">
        <f t="shared" si="44"/>
        <v>137.69999999999999</v>
      </c>
      <c r="F2874" s="8"/>
    </row>
    <row r="2875" spans="1:6" ht="18" customHeight="1">
      <c r="A2875" s="4" t="s">
        <v>90</v>
      </c>
      <c r="B2875" s="4" t="str">
        <f>"2020011514"</f>
        <v>2020011514</v>
      </c>
      <c r="C2875" s="5">
        <v>75.099999999999994</v>
      </c>
      <c r="D2875" s="6">
        <v>61</v>
      </c>
      <c r="E2875" s="7">
        <f t="shared" si="44"/>
        <v>136.1</v>
      </c>
      <c r="F2875" s="8"/>
    </row>
    <row r="2876" spans="1:6" ht="18" customHeight="1">
      <c r="A2876" s="4" t="s">
        <v>90</v>
      </c>
      <c r="B2876" s="4" t="str">
        <f>"2020023924"</f>
        <v>2020023924</v>
      </c>
      <c r="C2876" s="5">
        <v>68.099999999999994</v>
      </c>
      <c r="D2876" s="6">
        <v>68</v>
      </c>
      <c r="E2876" s="7">
        <f t="shared" si="44"/>
        <v>136.1</v>
      </c>
      <c r="F2876" s="8"/>
    </row>
    <row r="2877" spans="1:6" ht="18" customHeight="1">
      <c r="A2877" s="4" t="s">
        <v>90</v>
      </c>
      <c r="B2877" s="4" t="str">
        <f>"2020030813"</f>
        <v>2020030813</v>
      </c>
      <c r="C2877" s="5">
        <v>71.8</v>
      </c>
      <c r="D2877" s="6">
        <v>64</v>
      </c>
      <c r="E2877" s="7">
        <f t="shared" si="44"/>
        <v>135.80000000000001</v>
      </c>
      <c r="F2877" s="8"/>
    </row>
    <row r="2878" spans="1:6" ht="18" customHeight="1">
      <c r="A2878" s="4" t="s">
        <v>90</v>
      </c>
      <c r="B2878" s="4" t="str">
        <f>"2020031918"</f>
        <v>2020031918</v>
      </c>
      <c r="C2878" s="5">
        <v>69.5</v>
      </c>
      <c r="D2878" s="6">
        <v>64.5</v>
      </c>
      <c r="E2878" s="7">
        <f t="shared" si="44"/>
        <v>134</v>
      </c>
      <c r="F2878" s="8"/>
    </row>
    <row r="2879" spans="1:6" ht="18" customHeight="1">
      <c r="A2879" s="4" t="s">
        <v>90</v>
      </c>
      <c r="B2879" s="4" t="str">
        <f>"2020045121"</f>
        <v>2020045121</v>
      </c>
      <c r="C2879" s="5">
        <v>68.599999999999994</v>
      </c>
      <c r="D2879" s="6">
        <v>64.5</v>
      </c>
      <c r="E2879" s="7">
        <f t="shared" si="44"/>
        <v>133.1</v>
      </c>
      <c r="F2879" s="8"/>
    </row>
    <row r="2880" spans="1:6" ht="18" customHeight="1">
      <c r="A2880" s="4" t="s">
        <v>90</v>
      </c>
      <c r="B2880" s="4" t="str">
        <f>"2020046812"</f>
        <v>2020046812</v>
      </c>
      <c r="C2880" s="5">
        <v>60.6</v>
      </c>
      <c r="D2880" s="6">
        <v>72.5</v>
      </c>
      <c r="E2880" s="7">
        <f t="shared" si="44"/>
        <v>133.1</v>
      </c>
      <c r="F2880" s="8"/>
    </row>
    <row r="2881" spans="1:6" ht="18" customHeight="1">
      <c r="A2881" s="4" t="s">
        <v>90</v>
      </c>
      <c r="B2881" s="4" t="str">
        <f>"2020033712"</f>
        <v>2020033712</v>
      </c>
      <c r="C2881" s="5">
        <v>63.5</v>
      </c>
      <c r="D2881" s="6">
        <v>69.5</v>
      </c>
      <c r="E2881" s="7">
        <f t="shared" si="44"/>
        <v>133</v>
      </c>
      <c r="F2881" s="8"/>
    </row>
    <row r="2882" spans="1:6" ht="18" customHeight="1">
      <c r="A2882" s="4" t="s">
        <v>90</v>
      </c>
      <c r="B2882" s="4" t="str">
        <f>"2020031230"</f>
        <v>2020031230</v>
      </c>
      <c r="C2882" s="5">
        <v>66.7</v>
      </c>
      <c r="D2882" s="6">
        <v>66</v>
      </c>
      <c r="E2882" s="7">
        <f t="shared" si="44"/>
        <v>132.69999999999999</v>
      </c>
      <c r="F2882" s="8"/>
    </row>
    <row r="2883" spans="1:6" ht="18" customHeight="1">
      <c r="A2883" s="4" t="s">
        <v>90</v>
      </c>
      <c r="B2883" s="4" t="str">
        <f>"2020011507"</f>
        <v>2020011507</v>
      </c>
      <c r="C2883" s="5">
        <v>58</v>
      </c>
      <c r="D2883" s="6">
        <v>74.5</v>
      </c>
      <c r="E2883" s="7">
        <f t="shared" ref="E2883:E2946" si="45">SUM(C2883:D2883)</f>
        <v>132.5</v>
      </c>
      <c r="F2883" s="8"/>
    </row>
    <row r="2884" spans="1:6" ht="18" customHeight="1">
      <c r="A2884" s="4" t="s">
        <v>90</v>
      </c>
      <c r="B2884" s="4" t="str">
        <f>"2020024213"</f>
        <v>2020024213</v>
      </c>
      <c r="C2884" s="5">
        <v>61.7</v>
      </c>
      <c r="D2884" s="6">
        <v>70.5</v>
      </c>
      <c r="E2884" s="7">
        <f t="shared" si="45"/>
        <v>132.19999999999999</v>
      </c>
      <c r="F2884" s="8"/>
    </row>
    <row r="2885" spans="1:6" ht="18" customHeight="1">
      <c r="A2885" s="4" t="s">
        <v>90</v>
      </c>
      <c r="B2885" s="4" t="str">
        <f>"2020040601"</f>
        <v>2020040601</v>
      </c>
      <c r="C2885" s="5">
        <v>63</v>
      </c>
      <c r="D2885" s="6">
        <v>68.5</v>
      </c>
      <c r="E2885" s="7">
        <f t="shared" si="45"/>
        <v>131.5</v>
      </c>
      <c r="F2885" s="8"/>
    </row>
    <row r="2886" spans="1:6" ht="18" customHeight="1">
      <c r="A2886" s="4" t="s">
        <v>90</v>
      </c>
      <c r="B2886" s="4" t="str">
        <f>"2020042012"</f>
        <v>2020042012</v>
      </c>
      <c r="C2886" s="5">
        <v>57.3</v>
      </c>
      <c r="D2886" s="6">
        <v>73</v>
      </c>
      <c r="E2886" s="7">
        <f t="shared" si="45"/>
        <v>130.30000000000001</v>
      </c>
      <c r="F2886" s="8"/>
    </row>
    <row r="2887" spans="1:6" ht="18" customHeight="1">
      <c r="A2887" s="4" t="s">
        <v>90</v>
      </c>
      <c r="B2887" s="4" t="str">
        <f>"2020030210"</f>
        <v>2020030210</v>
      </c>
      <c r="C2887" s="5">
        <v>66.8</v>
      </c>
      <c r="D2887" s="6">
        <v>63</v>
      </c>
      <c r="E2887" s="7">
        <f t="shared" si="45"/>
        <v>129.80000000000001</v>
      </c>
      <c r="F2887" s="8"/>
    </row>
    <row r="2888" spans="1:6" ht="18" customHeight="1">
      <c r="A2888" s="4" t="s">
        <v>90</v>
      </c>
      <c r="B2888" s="4" t="str">
        <f>"2020046005"</f>
        <v>2020046005</v>
      </c>
      <c r="C2888" s="5">
        <v>61.4</v>
      </c>
      <c r="D2888" s="6">
        <v>68</v>
      </c>
      <c r="E2888" s="7">
        <f t="shared" si="45"/>
        <v>129.4</v>
      </c>
      <c r="F2888" s="8"/>
    </row>
    <row r="2889" spans="1:6" ht="18" customHeight="1">
      <c r="A2889" s="4" t="s">
        <v>90</v>
      </c>
      <c r="B2889" s="4" t="str">
        <f>"2020012607"</f>
        <v>2020012607</v>
      </c>
      <c r="C2889" s="5">
        <v>70.099999999999994</v>
      </c>
      <c r="D2889" s="6">
        <v>58.5</v>
      </c>
      <c r="E2889" s="7">
        <f t="shared" si="45"/>
        <v>128.6</v>
      </c>
      <c r="F2889" s="8"/>
    </row>
    <row r="2890" spans="1:6" ht="18" customHeight="1">
      <c r="A2890" s="4" t="s">
        <v>90</v>
      </c>
      <c r="B2890" s="4" t="str">
        <f>"2020045018"</f>
        <v>2020045018</v>
      </c>
      <c r="C2890" s="5">
        <v>66.599999999999994</v>
      </c>
      <c r="D2890" s="6">
        <v>62</v>
      </c>
      <c r="E2890" s="7">
        <f t="shared" si="45"/>
        <v>128.6</v>
      </c>
      <c r="F2890" s="8"/>
    </row>
    <row r="2891" spans="1:6" ht="18" customHeight="1">
      <c r="A2891" s="4" t="s">
        <v>90</v>
      </c>
      <c r="B2891" s="4" t="str">
        <f>"2020041703"</f>
        <v>2020041703</v>
      </c>
      <c r="C2891" s="5">
        <v>62.5</v>
      </c>
      <c r="D2891" s="6">
        <v>64</v>
      </c>
      <c r="E2891" s="7">
        <f t="shared" si="45"/>
        <v>126.5</v>
      </c>
      <c r="F2891" s="8"/>
    </row>
    <row r="2892" spans="1:6" ht="18" customHeight="1">
      <c r="A2892" s="4" t="s">
        <v>90</v>
      </c>
      <c r="B2892" s="4" t="str">
        <f>"2020011806"</f>
        <v>2020011806</v>
      </c>
      <c r="C2892" s="5">
        <v>59.6</v>
      </c>
      <c r="D2892" s="6">
        <v>62.5</v>
      </c>
      <c r="E2892" s="7">
        <f t="shared" si="45"/>
        <v>122.1</v>
      </c>
      <c r="F2892" s="8"/>
    </row>
    <row r="2893" spans="1:6" ht="18" customHeight="1">
      <c r="A2893" s="4" t="s">
        <v>90</v>
      </c>
      <c r="B2893" s="4" t="str">
        <f>"2020014005"</f>
        <v>2020014005</v>
      </c>
      <c r="C2893" s="5">
        <v>59.3</v>
      </c>
      <c r="D2893" s="6">
        <v>61.5</v>
      </c>
      <c r="E2893" s="7">
        <f t="shared" si="45"/>
        <v>120.8</v>
      </c>
      <c r="F2893" s="8"/>
    </row>
    <row r="2894" spans="1:6" ht="18" customHeight="1">
      <c r="A2894" s="4" t="s">
        <v>90</v>
      </c>
      <c r="B2894" s="4" t="str">
        <f>"2020032322"</f>
        <v>2020032322</v>
      </c>
      <c r="C2894" s="5">
        <v>62.7</v>
      </c>
      <c r="D2894" s="6">
        <v>58</v>
      </c>
      <c r="E2894" s="7">
        <f t="shared" si="45"/>
        <v>120.7</v>
      </c>
      <c r="F2894" s="8"/>
    </row>
    <row r="2895" spans="1:6" ht="18" customHeight="1">
      <c r="A2895" s="4" t="s">
        <v>90</v>
      </c>
      <c r="B2895" s="4" t="str">
        <f>"2020044508"</f>
        <v>2020044508</v>
      </c>
      <c r="C2895" s="5">
        <v>54.5</v>
      </c>
      <c r="D2895" s="6">
        <v>57.5</v>
      </c>
      <c r="E2895" s="7">
        <f t="shared" si="45"/>
        <v>112</v>
      </c>
      <c r="F2895" s="8"/>
    </row>
    <row r="2896" spans="1:6" ht="18" customHeight="1">
      <c r="A2896" s="4" t="s">
        <v>90</v>
      </c>
      <c r="B2896" s="4" t="str">
        <f>"2020042817"</f>
        <v>2020042817</v>
      </c>
      <c r="C2896" s="5">
        <v>60.8</v>
      </c>
      <c r="D2896" s="6">
        <v>51</v>
      </c>
      <c r="E2896" s="7">
        <f t="shared" si="45"/>
        <v>111.8</v>
      </c>
      <c r="F2896" s="8"/>
    </row>
    <row r="2897" spans="1:6" ht="18" customHeight="1">
      <c r="A2897" s="4" t="s">
        <v>90</v>
      </c>
      <c r="B2897" s="4" t="str">
        <f>"2020044330"</f>
        <v>2020044330</v>
      </c>
      <c r="C2897" s="5">
        <v>54.7</v>
      </c>
      <c r="D2897" s="6">
        <v>48</v>
      </c>
      <c r="E2897" s="7">
        <f t="shared" si="45"/>
        <v>102.7</v>
      </c>
      <c r="F2897" s="8"/>
    </row>
    <row r="2898" spans="1:6" ht="18" customHeight="1">
      <c r="A2898" s="4" t="s">
        <v>90</v>
      </c>
      <c r="B2898" s="4" t="str">
        <f>"2020012225"</f>
        <v>2020012225</v>
      </c>
      <c r="C2898" s="5">
        <v>0</v>
      </c>
      <c r="D2898" s="6">
        <v>0</v>
      </c>
      <c r="E2898" s="7">
        <f t="shared" si="45"/>
        <v>0</v>
      </c>
      <c r="F2898" s="9" t="s">
        <v>8</v>
      </c>
    </row>
    <row r="2899" spans="1:6" ht="18" customHeight="1">
      <c r="A2899" s="4" t="s">
        <v>90</v>
      </c>
      <c r="B2899" s="4" t="str">
        <f>"2020012608"</f>
        <v>2020012608</v>
      </c>
      <c r="C2899" s="5">
        <v>0</v>
      </c>
      <c r="D2899" s="6">
        <v>0</v>
      </c>
      <c r="E2899" s="7">
        <f t="shared" si="45"/>
        <v>0</v>
      </c>
      <c r="F2899" s="9" t="s">
        <v>8</v>
      </c>
    </row>
    <row r="2900" spans="1:6" ht="18" customHeight="1">
      <c r="A2900" s="4" t="s">
        <v>90</v>
      </c>
      <c r="B2900" s="4" t="str">
        <f>"2020020703"</f>
        <v>2020020703</v>
      </c>
      <c r="C2900" s="5">
        <v>0</v>
      </c>
      <c r="D2900" s="6">
        <v>0</v>
      </c>
      <c r="E2900" s="7">
        <f t="shared" si="45"/>
        <v>0</v>
      </c>
      <c r="F2900" s="8" t="s">
        <v>8</v>
      </c>
    </row>
    <row r="2901" spans="1:6" ht="18" customHeight="1">
      <c r="A2901" s="4" t="s">
        <v>90</v>
      </c>
      <c r="B2901" s="4" t="str">
        <f>"2020022828"</f>
        <v>2020022828</v>
      </c>
      <c r="C2901" s="5">
        <v>0</v>
      </c>
      <c r="D2901" s="6">
        <v>0</v>
      </c>
      <c r="E2901" s="7">
        <f t="shared" si="45"/>
        <v>0</v>
      </c>
      <c r="F2901" s="8" t="s">
        <v>8</v>
      </c>
    </row>
    <row r="2902" spans="1:6" ht="18" customHeight="1">
      <c r="A2902" s="4" t="s">
        <v>90</v>
      </c>
      <c r="B2902" s="4" t="str">
        <f>"2020030622"</f>
        <v>2020030622</v>
      </c>
      <c r="C2902" s="5">
        <v>0</v>
      </c>
      <c r="D2902" s="6">
        <v>0</v>
      </c>
      <c r="E2902" s="7">
        <f t="shared" si="45"/>
        <v>0</v>
      </c>
      <c r="F2902" s="8" t="s">
        <v>8</v>
      </c>
    </row>
    <row r="2903" spans="1:6" ht="18" customHeight="1">
      <c r="A2903" s="4" t="s">
        <v>90</v>
      </c>
      <c r="B2903" s="4" t="str">
        <f>"2020043814"</f>
        <v>2020043814</v>
      </c>
      <c r="C2903" s="5">
        <v>0</v>
      </c>
      <c r="D2903" s="6">
        <v>0</v>
      </c>
      <c r="E2903" s="7">
        <f t="shared" si="45"/>
        <v>0</v>
      </c>
      <c r="F2903" s="8" t="s">
        <v>8</v>
      </c>
    </row>
    <row r="2904" spans="1:6" ht="18" customHeight="1">
      <c r="A2904" s="4" t="s">
        <v>90</v>
      </c>
      <c r="B2904" s="4" t="str">
        <f>"2020045420"</f>
        <v>2020045420</v>
      </c>
      <c r="C2904" s="5">
        <v>0</v>
      </c>
      <c r="D2904" s="6">
        <v>0</v>
      </c>
      <c r="E2904" s="7">
        <f t="shared" si="45"/>
        <v>0</v>
      </c>
      <c r="F2904" s="8" t="s">
        <v>8</v>
      </c>
    </row>
    <row r="2905" spans="1:6" ht="18" customHeight="1">
      <c r="A2905" s="4" t="s">
        <v>90</v>
      </c>
      <c r="B2905" s="4" t="str">
        <f>"2020046810"</f>
        <v>2020046810</v>
      </c>
      <c r="C2905" s="5">
        <v>0</v>
      </c>
      <c r="D2905" s="6">
        <v>0</v>
      </c>
      <c r="E2905" s="7">
        <f t="shared" si="45"/>
        <v>0</v>
      </c>
      <c r="F2905" s="8" t="s">
        <v>8</v>
      </c>
    </row>
    <row r="2906" spans="1:6" ht="18" customHeight="1">
      <c r="A2906" s="4" t="s">
        <v>90</v>
      </c>
      <c r="B2906" s="4" t="str">
        <f>"2020047017"</f>
        <v>2020047017</v>
      </c>
      <c r="C2906" s="5">
        <v>0</v>
      </c>
      <c r="D2906" s="6">
        <v>0</v>
      </c>
      <c r="E2906" s="7">
        <f t="shared" si="45"/>
        <v>0</v>
      </c>
      <c r="F2906" s="8" t="s">
        <v>8</v>
      </c>
    </row>
    <row r="2907" spans="1:6" ht="18" customHeight="1">
      <c r="A2907" s="4" t="s">
        <v>91</v>
      </c>
      <c r="B2907" s="4" t="str">
        <f>"2020013701"</f>
        <v>2020013701</v>
      </c>
      <c r="C2907" s="5">
        <v>77.7</v>
      </c>
      <c r="D2907" s="6">
        <v>84</v>
      </c>
      <c r="E2907" s="7">
        <f t="shared" si="45"/>
        <v>161.69999999999999</v>
      </c>
      <c r="F2907" s="8"/>
    </row>
    <row r="2908" spans="1:6" ht="18" customHeight="1">
      <c r="A2908" s="4" t="s">
        <v>91</v>
      </c>
      <c r="B2908" s="4" t="str">
        <f>"2020030725"</f>
        <v>2020030725</v>
      </c>
      <c r="C2908" s="5">
        <v>77.8</v>
      </c>
      <c r="D2908" s="6">
        <v>76</v>
      </c>
      <c r="E2908" s="7">
        <f t="shared" si="45"/>
        <v>153.80000000000001</v>
      </c>
      <c r="F2908" s="8"/>
    </row>
    <row r="2909" spans="1:6" ht="18" customHeight="1">
      <c r="A2909" s="4" t="s">
        <v>91</v>
      </c>
      <c r="B2909" s="4" t="str">
        <f>"2020024222"</f>
        <v>2020024222</v>
      </c>
      <c r="C2909" s="5">
        <v>75.8</v>
      </c>
      <c r="D2909" s="6">
        <v>76</v>
      </c>
      <c r="E2909" s="7">
        <f t="shared" si="45"/>
        <v>151.80000000000001</v>
      </c>
      <c r="F2909" s="8"/>
    </row>
    <row r="2910" spans="1:6" ht="18" customHeight="1">
      <c r="A2910" s="4" t="s">
        <v>91</v>
      </c>
      <c r="B2910" s="4" t="str">
        <f>"2020042112"</f>
        <v>2020042112</v>
      </c>
      <c r="C2910" s="5">
        <v>73.8</v>
      </c>
      <c r="D2910" s="6">
        <v>76</v>
      </c>
      <c r="E2910" s="7">
        <f t="shared" si="45"/>
        <v>149.80000000000001</v>
      </c>
      <c r="F2910" s="8"/>
    </row>
    <row r="2911" spans="1:6" ht="18" customHeight="1">
      <c r="A2911" s="4" t="s">
        <v>91</v>
      </c>
      <c r="B2911" s="4" t="str">
        <f>"2020043113"</f>
        <v>2020043113</v>
      </c>
      <c r="C2911" s="5">
        <v>77.599999999999994</v>
      </c>
      <c r="D2911" s="6">
        <v>68.5</v>
      </c>
      <c r="E2911" s="7">
        <f t="shared" si="45"/>
        <v>146.1</v>
      </c>
      <c r="F2911" s="8"/>
    </row>
    <row r="2912" spans="1:6" ht="18" customHeight="1">
      <c r="A2912" s="4" t="s">
        <v>91</v>
      </c>
      <c r="B2912" s="4" t="str">
        <f>"2020020529"</f>
        <v>2020020529</v>
      </c>
      <c r="C2912" s="5">
        <v>72</v>
      </c>
      <c r="D2912" s="6">
        <v>71</v>
      </c>
      <c r="E2912" s="7">
        <f t="shared" si="45"/>
        <v>143</v>
      </c>
      <c r="F2912" s="8"/>
    </row>
    <row r="2913" spans="1:6" ht="18" customHeight="1">
      <c r="A2913" s="4" t="s">
        <v>91</v>
      </c>
      <c r="B2913" s="4" t="str">
        <f>"2020031202"</f>
        <v>2020031202</v>
      </c>
      <c r="C2913" s="5">
        <v>70.400000000000006</v>
      </c>
      <c r="D2913" s="6">
        <v>72.5</v>
      </c>
      <c r="E2913" s="7">
        <f t="shared" si="45"/>
        <v>142.9</v>
      </c>
      <c r="F2913" s="8"/>
    </row>
    <row r="2914" spans="1:6" ht="18" customHeight="1">
      <c r="A2914" s="4" t="s">
        <v>91</v>
      </c>
      <c r="B2914" s="4" t="str">
        <f>"2020043829"</f>
        <v>2020043829</v>
      </c>
      <c r="C2914" s="5">
        <v>69.7</v>
      </c>
      <c r="D2914" s="6">
        <v>71.5</v>
      </c>
      <c r="E2914" s="7">
        <f t="shared" si="45"/>
        <v>141.19999999999999</v>
      </c>
      <c r="F2914" s="8"/>
    </row>
    <row r="2915" spans="1:6" ht="18" customHeight="1">
      <c r="A2915" s="4" t="s">
        <v>91</v>
      </c>
      <c r="B2915" s="4" t="str">
        <f>"2020030113"</f>
        <v>2020030113</v>
      </c>
      <c r="C2915" s="5">
        <v>63.4</v>
      </c>
      <c r="D2915" s="6">
        <v>77</v>
      </c>
      <c r="E2915" s="7">
        <f t="shared" si="45"/>
        <v>140.4</v>
      </c>
      <c r="F2915" s="8"/>
    </row>
    <row r="2916" spans="1:6" ht="18" customHeight="1">
      <c r="A2916" s="4" t="s">
        <v>91</v>
      </c>
      <c r="B2916" s="4" t="str">
        <f>"2020021702"</f>
        <v>2020021702</v>
      </c>
      <c r="C2916" s="5">
        <v>75.099999999999994</v>
      </c>
      <c r="D2916" s="6">
        <v>64.5</v>
      </c>
      <c r="E2916" s="7">
        <f t="shared" si="45"/>
        <v>139.6</v>
      </c>
      <c r="F2916" s="8"/>
    </row>
    <row r="2917" spans="1:6" ht="18" customHeight="1">
      <c r="A2917" s="4" t="s">
        <v>91</v>
      </c>
      <c r="B2917" s="4" t="str">
        <f>"2020047428"</f>
        <v>2020047428</v>
      </c>
      <c r="C2917" s="5">
        <v>70.2</v>
      </c>
      <c r="D2917" s="6">
        <v>68.5</v>
      </c>
      <c r="E2917" s="7">
        <f t="shared" si="45"/>
        <v>138.69999999999999</v>
      </c>
      <c r="F2917" s="8"/>
    </row>
    <row r="2918" spans="1:6" ht="18" customHeight="1">
      <c r="A2918" s="4" t="s">
        <v>91</v>
      </c>
      <c r="B2918" s="4" t="str">
        <f>"2020033116"</f>
        <v>2020033116</v>
      </c>
      <c r="C2918" s="5">
        <v>67.5</v>
      </c>
      <c r="D2918" s="6">
        <v>71</v>
      </c>
      <c r="E2918" s="7">
        <f t="shared" si="45"/>
        <v>138.5</v>
      </c>
      <c r="F2918" s="8"/>
    </row>
    <row r="2919" spans="1:6" ht="18" customHeight="1">
      <c r="A2919" s="4" t="s">
        <v>91</v>
      </c>
      <c r="B2919" s="4" t="str">
        <f>"2020045104"</f>
        <v>2020045104</v>
      </c>
      <c r="C2919" s="5">
        <v>67.5</v>
      </c>
      <c r="D2919" s="6">
        <v>71</v>
      </c>
      <c r="E2919" s="7">
        <f t="shared" si="45"/>
        <v>138.5</v>
      </c>
      <c r="F2919" s="8"/>
    </row>
    <row r="2920" spans="1:6" ht="18" customHeight="1">
      <c r="A2920" s="4" t="s">
        <v>91</v>
      </c>
      <c r="B2920" s="4" t="str">
        <f>"2020046315"</f>
        <v>2020046315</v>
      </c>
      <c r="C2920" s="5">
        <v>68.8</v>
      </c>
      <c r="D2920" s="6">
        <v>69</v>
      </c>
      <c r="E2920" s="7">
        <f t="shared" si="45"/>
        <v>137.80000000000001</v>
      </c>
      <c r="F2920" s="8"/>
    </row>
    <row r="2921" spans="1:6" ht="18" customHeight="1">
      <c r="A2921" s="4" t="s">
        <v>91</v>
      </c>
      <c r="B2921" s="4" t="str">
        <f>"2020044419"</f>
        <v>2020044419</v>
      </c>
      <c r="C2921" s="5">
        <v>61.9</v>
      </c>
      <c r="D2921" s="6">
        <v>74.5</v>
      </c>
      <c r="E2921" s="7">
        <f t="shared" si="45"/>
        <v>136.4</v>
      </c>
      <c r="F2921" s="8"/>
    </row>
    <row r="2922" spans="1:6" ht="18" customHeight="1">
      <c r="A2922" s="4" t="s">
        <v>91</v>
      </c>
      <c r="B2922" s="4" t="str">
        <f>"2020011927"</f>
        <v>2020011927</v>
      </c>
      <c r="C2922" s="5">
        <v>73.7</v>
      </c>
      <c r="D2922" s="6">
        <v>62</v>
      </c>
      <c r="E2922" s="7">
        <f t="shared" si="45"/>
        <v>135.69999999999999</v>
      </c>
      <c r="F2922" s="8"/>
    </row>
    <row r="2923" spans="1:6" ht="18" customHeight="1">
      <c r="A2923" s="4" t="s">
        <v>91</v>
      </c>
      <c r="B2923" s="4" t="str">
        <f>"2020032618"</f>
        <v>2020032618</v>
      </c>
      <c r="C2923" s="5">
        <v>72.7</v>
      </c>
      <c r="D2923" s="6">
        <v>62</v>
      </c>
      <c r="E2923" s="7">
        <f t="shared" si="45"/>
        <v>134.69999999999999</v>
      </c>
      <c r="F2923" s="8"/>
    </row>
    <row r="2924" spans="1:6" ht="18" customHeight="1">
      <c r="A2924" s="4" t="s">
        <v>91</v>
      </c>
      <c r="B2924" s="4" t="str">
        <f>"2020046819"</f>
        <v>2020046819</v>
      </c>
      <c r="C2924" s="5">
        <v>64.3</v>
      </c>
      <c r="D2924" s="6">
        <v>67.5</v>
      </c>
      <c r="E2924" s="7">
        <f t="shared" si="45"/>
        <v>131.80000000000001</v>
      </c>
      <c r="F2924" s="8"/>
    </row>
    <row r="2925" spans="1:6" ht="18" customHeight="1">
      <c r="A2925" s="4" t="s">
        <v>91</v>
      </c>
      <c r="B2925" s="4" t="str">
        <f>"2020014009"</f>
        <v>2020014009</v>
      </c>
      <c r="C2925" s="5">
        <v>64.8</v>
      </c>
      <c r="D2925" s="6">
        <v>66</v>
      </c>
      <c r="E2925" s="7">
        <f t="shared" si="45"/>
        <v>130.80000000000001</v>
      </c>
      <c r="F2925" s="8"/>
    </row>
    <row r="2926" spans="1:6" ht="18" customHeight="1">
      <c r="A2926" s="4" t="s">
        <v>91</v>
      </c>
      <c r="B2926" s="4" t="str">
        <f>"2020046229"</f>
        <v>2020046229</v>
      </c>
      <c r="C2926" s="5">
        <v>61.5</v>
      </c>
      <c r="D2926" s="6">
        <v>68.5</v>
      </c>
      <c r="E2926" s="7">
        <f t="shared" si="45"/>
        <v>130</v>
      </c>
      <c r="F2926" s="8"/>
    </row>
    <row r="2927" spans="1:6" ht="18" customHeight="1">
      <c r="A2927" s="4" t="s">
        <v>91</v>
      </c>
      <c r="B2927" s="4" t="str">
        <f>"2020013918"</f>
        <v>2020013918</v>
      </c>
      <c r="C2927" s="5">
        <v>69.900000000000006</v>
      </c>
      <c r="D2927" s="6">
        <v>60</v>
      </c>
      <c r="E2927" s="7">
        <f t="shared" si="45"/>
        <v>129.9</v>
      </c>
      <c r="F2927" s="8"/>
    </row>
    <row r="2928" spans="1:6" ht="18" customHeight="1">
      <c r="A2928" s="4" t="s">
        <v>91</v>
      </c>
      <c r="B2928" s="4" t="str">
        <f>"2020040822"</f>
        <v>2020040822</v>
      </c>
      <c r="C2928" s="5">
        <v>70.900000000000006</v>
      </c>
      <c r="D2928" s="6">
        <v>58.5</v>
      </c>
      <c r="E2928" s="7">
        <f t="shared" si="45"/>
        <v>129.4</v>
      </c>
      <c r="F2928" s="8"/>
    </row>
    <row r="2929" spans="1:6" ht="18" customHeight="1">
      <c r="A2929" s="4" t="s">
        <v>91</v>
      </c>
      <c r="B2929" s="4" t="str">
        <f>"2020023808"</f>
        <v>2020023808</v>
      </c>
      <c r="C2929" s="5">
        <v>65</v>
      </c>
      <c r="D2929" s="6">
        <v>63.5</v>
      </c>
      <c r="E2929" s="7">
        <f t="shared" si="45"/>
        <v>128.5</v>
      </c>
      <c r="F2929" s="8"/>
    </row>
    <row r="2930" spans="1:6" ht="18" customHeight="1">
      <c r="A2930" s="4" t="s">
        <v>91</v>
      </c>
      <c r="B2930" s="4" t="str">
        <f>"2020031626"</f>
        <v>2020031626</v>
      </c>
      <c r="C2930" s="5">
        <v>56.9</v>
      </c>
      <c r="D2930" s="6">
        <v>69</v>
      </c>
      <c r="E2930" s="7">
        <f t="shared" si="45"/>
        <v>125.9</v>
      </c>
      <c r="F2930" s="8"/>
    </row>
    <row r="2931" spans="1:6" ht="18" customHeight="1">
      <c r="A2931" s="4" t="s">
        <v>91</v>
      </c>
      <c r="B2931" s="4" t="str">
        <f>"2020045430"</f>
        <v>2020045430</v>
      </c>
      <c r="C2931" s="5">
        <v>67.3</v>
      </c>
      <c r="D2931" s="6">
        <v>56.5</v>
      </c>
      <c r="E2931" s="7">
        <f t="shared" si="45"/>
        <v>123.8</v>
      </c>
      <c r="F2931" s="8"/>
    </row>
    <row r="2932" spans="1:6" ht="18" customHeight="1">
      <c r="A2932" s="4" t="s">
        <v>91</v>
      </c>
      <c r="B2932" s="4" t="str">
        <f>"2020040402"</f>
        <v>2020040402</v>
      </c>
      <c r="C2932" s="5">
        <v>67.099999999999994</v>
      </c>
      <c r="D2932" s="6">
        <v>55.5</v>
      </c>
      <c r="E2932" s="7">
        <f t="shared" si="45"/>
        <v>122.6</v>
      </c>
      <c r="F2932" s="8"/>
    </row>
    <row r="2933" spans="1:6" ht="18" customHeight="1">
      <c r="A2933" s="4" t="s">
        <v>91</v>
      </c>
      <c r="B2933" s="4" t="str">
        <f>"2020011329"</f>
        <v>2020011329</v>
      </c>
      <c r="C2933" s="5">
        <v>61</v>
      </c>
      <c r="D2933" s="6">
        <v>54.5</v>
      </c>
      <c r="E2933" s="7">
        <f t="shared" si="45"/>
        <v>115.5</v>
      </c>
      <c r="F2933" s="8"/>
    </row>
    <row r="2934" spans="1:6" ht="18" customHeight="1">
      <c r="A2934" s="4" t="s">
        <v>91</v>
      </c>
      <c r="B2934" s="4" t="str">
        <f>"2020045223"</f>
        <v>2020045223</v>
      </c>
      <c r="C2934" s="5">
        <v>55</v>
      </c>
      <c r="D2934" s="6">
        <v>50.5</v>
      </c>
      <c r="E2934" s="7">
        <f t="shared" si="45"/>
        <v>105.5</v>
      </c>
      <c r="F2934" s="8"/>
    </row>
    <row r="2935" spans="1:6" ht="18" customHeight="1">
      <c r="A2935" s="4" t="s">
        <v>91</v>
      </c>
      <c r="B2935" s="4" t="str">
        <f>"2020011423"</f>
        <v>2020011423</v>
      </c>
      <c r="C2935" s="5">
        <v>0</v>
      </c>
      <c r="D2935" s="6">
        <v>0</v>
      </c>
      <c r="E2935" s="7">
        <f t="shared" si="45"/>
        <v>0</v>
      </c>
      <c r="F2935" s="9" t="s">
        <v>8</v>
      </c>
    </row>
    <row r="2936" spans="1:6" ht="18" customHeight="1">
      <c r="A2936" s="4" t="s">
        <v>91</v>
      </c>
      <c r="B2936" s="4" t="str">
        <f>"2020011902"</f>
        <v>2020011902</v>
      </c>
      <c r="C2936" s="5">
        <v>0</v>
      </c>
      <c r="D2936" s="6">
        <v>0</v>
      </c>
      <c r="E2936" s="7">
        <f t="shared" si="45"/>
        <v>0</v>
      </c>
      <c r="F2936" s="9" t="s">
        <v>8</v>
      </c>
    </row>
    <row r="2937" spans="1:6" ht="18" customHeight="1">
      <c r="A2937" s="4" t="s">
        <v>91</v>
      </c>
      <c r="B2937" s="4" t="str">
        <f>"2020020506"</f>
        <v>2020020506</v>
      </c>
      <c r="C2937" s="5">
        <v>0</v>
      </c>
      <c r="D2937" s="6">
        <v>0</v>
      </c>
      <c r="E2937" s="7">
        <f t="shared" si="45"/>
        <v>0</v>
      </c>
      <c r="F2937" s="8" t="s">
        <v>8</v>
      </c>
    </row>
    <row r="2938" spans="1:6" ht="18" customHeight="1">
      <c r="A2938" s="4" t="s">
        <v>91</v>
      </c>
      <c r="B2938" s="4" t="str">
        <f>"2020021918"</f>
        <v>2020021918</v>
      </c>
      <c r="C2938" s="5">
        <v>0</v>
      </c>
      <c r="D2938" s="6">
        <v>0</v>
      </c>
      <c r="E2938" s="7">
        <f t="shared" si="45"/>
        <v>0</v>
      </c>
      <c r="F2938" s="8" t="s">
        <v>8</v>
      </c>
    </row>
    <row r="2939" spans="1:6" ht="18" customHeight="1">
      <c r="A2939" s="4" t="s">
        <v>91</v>
      </c>
      <c r="B2939" s="4" t="str">
        <f>"2020022919"</f>
        <v>2020022919</v>
      </c>
      <c r="C2939" s="5">
        <v>0</v>
      </c>
      <c r="D2939" s="6">
        <v>0</v>
      </c>
      <c r="E2939" s="7">
        <f t="shared" si="45"/>
        <v>0</v>
      </c>
      <c r="F2939" s="8" t="s">
        <v>8</v>
      </c>
    </row>
    <row r="2940" spans="1:6" ht="18" customHeight="1">
      <c r="A2940" s="4" t="s">
        <v>91</v>
      </c>
      <c r="B2940" s="4" t="str">
        <f>"2020023019"</f>
        <v>2020023019</v>
      </c>
      <c r="C2940" s="5">
        <v>0</v>
      </c>
      <c r="D2940" s="6">
        <v>0</v>
      </c>
      <c r="E2940" s="7">
        <f t="shared" si="45"/>
        <v>0</v>
      </c>
      <c r="F2940" s="8" t="s">
        <v>8</v>
      </c>
    </row>
    <row r="2941" spans="1:6" ht="18" customHeight="1">
      <c r="A2941" s="4" t="s">
        <v>91</v>
      </c>
      <c r="B2941" s="4" t="str">
        <f>"2020031308"</f>
        <v>2020031308</v>
      </c>
      <c r="C2941" s="5">
        <v>0</v>
      </c>
      <c r="D2941" s="6">
        <v>0</v>
      </c>
      <c r="E2941" s="7">
        <f t="shared" si="45"/>
        <v>0</v>
      </c>
      <c r="F2941" s="8" t="s">
        <v>8</v>
      </c>
    </row>
    <row r="2942" spans="1:6" ht="18" customHeight="1">
      <c r="A2942" s="4" t="s">
        <v>91</v>
      </c>
      <c r="B2942" s="4" t="str">
        <f>"2020031915"</f>
        <v>2020031915</v>
      </c>
      <c r="C2942" s="5">
        <v>0</v>
      </c>
      <c r="D2942" s="6">
        <v>0</v>
      </c>
      <c r="E2942" s="7">
        <f t="shared" si="45"/>
        <v>0</v>
      </c>
      <c r="F2942" s="8" t="s">
        <v>8</v>
      </c>
    </row>
    <row r="2943" spans="1:6" ht="18" customHeight="1">
      <c r="A2943" s="4" t="s">
        <v>91</v>
      </c>
      <c r="B2943" s="4" t="str">
        <f>"2020032411"</f>
        <v>2020032411</v>
      </c>
      <c r="C2943" s="5">
        <v>0</v>
      </c>
      <c r="D2943" s="6">
        <v>0</v>
      </c>
      <c r="E2943" s="7">
        <f t="shared" si="45"/>
        <v>0</v>
      </c>
      <c r="F2943" s="8" t="s">
        <v>8</v>
      </c>
    </row>
    <row r="2944" spans="1:6" ht="18" customHeight="1">
      <c r="A2944" s="4" t="s">
        <v>91</v>
      </c>
      <c r="B2944" s="4" t="str">
        <f>"2020032603"</f>
        <v>2020032603</v>
      </c>
      <c r="C2944" s="5">
        <v>0</v>
      </c>
      <c r="D2944" s="6">
        <v>0</v>
      </c>
      <c r="E2944" s="7">
        <f t="shared" si="45"/>
        <v>0</v>
      </c>
      <c r="F2944" s="8" t="s">
        <v>8</v>
      </c>
    </row>
    <row r="2945" spans="1:6" ht="18" customHeight="1">
      <c r="A2945" s="4" t="s">
        <v>91</v>
      </c>
      <c r="B2945" s="4" t="str">
        <f>"2020032619"</f>
        <v>2020032619</v>
      </c>
      <c r="C2945" s="5">
        <v>0</v>
      </c>
      <c r="D2945" s="6">
        <v>0</v>
      </c>
      <c r="E2945" s="7">
        <f t="shared" si="45"/>
        <v>0</v>
      </c>
      <c r="F2945" s="8" t="s">
        <v>8</v>
      </c>
    </row>
    <row r="2946" spans="1:6" ht="18" customHeight="1">
      <c r="A2946" s="4" t="s">
        <v>91</v>
      </c>
      <c r="B2946" s="4" t="str">
        <f>"2020040106"</f>
        <v>2020040106</v>
      </c>
      <c r="C2946" s="5">
        <v>0</v>
      </c>
      <c r="D2946" s="6">
        <v>0</v>
      </c>
      <c r="E2946" s="7">
        <f t="shared" si="45"/>
        <v>0</v>
      </c>
      <c r="F2946" s="8" t="s">
        <v>8</v>
      </c>
    </row>
    <row r="2947" spans="1:6" ht="18" customHeight="1">
      <c r="A2947" s="4" t="s">
        <v>91</v>
      </c>
      <c r="B2947" s="4" t="str">
        <f>"2020044427"</f>
        <v>2020044427</v>
      </c>
      <c r="C2947" s="5">
        <v>0</v>
      </c>
      <c r="D2947" s="6">
        <v>0</v>
      </c>
      <c r="E2947" s="7">
        <f t="shared" ref="E2947:E3010" si="46">SUM(C2947:D2947)</f>
        <v>0</v>
      </c>
      <c r="F2947" s="8" t="s">
        <v>8</v>
      </c>
    </row>
    <row r="2948" spans="1:6" ht="18" customHeight="1">
      <c r="A2948" s="4" t="s">
        <v>91</v>
      </c>
      <c r="B2948" s="4" t="str">
        <f>"2020045522"</f>
        <v>2020045522</v>
      </c>
      <c r="C2948" s="5">
        <v>0</v>
      </c>
      <c r="D2948" s="6">
        <v>0</v>
      </c>
      <c r="E2948" s="7">
        <f t="shared" si="46"/>
        <v>0</v>
      </c>
      <c r="F2948" s="8" t="s">
        <v>8</v>
      </c>
    </row>
    <row r="2949" spans="1:6" ht="18" customHeight="1">
      <c r="A2949" s="4" t="s">
        <v>92</v>
      </c>
      <c r="B2949" s="4" t="str">
        <f>"2020045825"</f>
        <v>2020045825</v>
      </c>
      <c r="C2949" s="5">
        <v>83.3</v>
      </c>
      <c r="D2949" s="6">
        <v>82</v>
      </c>
      <c r="E2949" s="7">
        <f t="shared" si="46"/>
        <v>165.3</v>
      </c>
      <c r="F2949" s="8"/>
    </row>
    <row r="2950" spans="1:6" ht="18" customHeight="1">
      <c r="A2950" s="4" t="s">
        <v>92</v>
      </c>
      <c r="B2950" s="4" t="str">
        <f>"2020031324"</f>
        <v>2020031324</v>
      </c>
      <c r="C2950" s="5">
        <v>69.099999999999994</v>
      </c>
      <c r="D2950" s="6">
        <v>73.5</v>
      </c>
      <c r="E2950" s="7">
        <f t="shared" si="46"/>
        <v>142.6</v>
      </c>
      <c r="F2950" s="8"/>
    </row>
    <row r="2951" spans="1:6" ht="18" customHeight="1">
      <c r="A2951" s="4" t="s">
        <v>92</v>
      </c>
      <c r="B2951" s="4" t="str">
        <f>"2020032207"</f>
        <v>2020032207</v>
      </c>
      <c r="C2951" s="5">
        <v>71.400000000000006</v>
      </c>
      <c r="D2951" s="6">
        <v>68</v>
      </c>
      <c r="E2951" s="7">
        <f t="shared" si="46"/>
        <v>139.4</v>
      </c>
      <c r="F2951" s="8"/>
    </row>
    <row r="2952" spans="1:6" ht="18" customHeight="1">
      <c r="A2952" s="4" t="s">
        <v>92</v>
      </c>
      <c r="B2952" s="4" t="str">
        <f>"2020012017"</f>
        <v>2020012017</v>
      </c>
      <c r="C2952" s="5">
        <v>64</v>
      </c>
      <c r="D2952" s="6">
        <v>73.5</v>
      </c>
      <c r="E2952" s="7">
        <f t="shared" si="46"/>
        <v>137.5</v>
      </c>
      <c r="F2952" s="8"/>
    </row>
    <row r="2953" spans="1:6" ht="18" customHeight="1">
      <c r="A2953" s="4" t="s">
        <v>92</v>
      </c>
      <c r="B2953" s="4" t="str">
        <f>"2020042712"</f>
        <v>2020042712</v>
      </c>
      <c r="C2953" s="5">
        <v>62.3</v>
      </c>
      <c r="D2953" s="6">
        <v>70.5</v>
      </c>
      <c r="E2953" s="7">
        <f t="shared" si="46"/>
        <v>132.80000000000001</v>
      </c>
      <c r="F2953" s="8"/>
    </row>
    <row r="2954" spans="1:6" ht="18" customHeight="1">
      <c r="A2954" s="4" t="s">
        <v>92</v>
      </c>
      <c r="B2954" s="4" t="str">
        <f>"2020043128"</f>
        <v>2020043128</v>
      </c>
      <c r="C2954" s="5">
        <v>67.2</v>
      </c>
      <c r="D2954" s="6">
        <v>61.5</v>
      </c>
      <c r="E2954" s="7">
        <f t="shared" si="46"/>
        <v>128.69999999999999</v>
      </c>
      <c r="F2954" s="8"/>
    </row>
    <row r="2955" spans="1:6" ht="18" customHeight="1">
      <c r="A2955" s="4" t="s">
        <v>92</v>
      </c>
      <c r="B2955" s="4" t="str">
        <f>"2020020925"</f>
        <v>2020020925</v>
      </c>
      <c r="C2955" s="5">
        <v>0</v>
      </c>
      <c r="D2955" s="6">
        <v>0</v>
      </c>
      <c r="E2955" s="7">
        <f t="shared" si="46"/>
        <v>0</v>
      </c>
      <c r="F2955" s="8" t="s">
        <v>8</v>
      </c>
    </row>
    <row r="2956" spans="1:6" ht="18" customHeight="1">
      <c r="A2956" s="4" t="s">
        <v>93</v>
      </c>
      <c r="B2956" s="4" t="str">
        <f>"2020046921"</f>
        <v>2020046921</v>
      </c>
      <c r="C2956" s="5">
        <v>70.8</v>
      </c>
      <c r="D2956" s="6">
        <v>66.5</v>
      </c>
      <c r="E2956" s="7">
        <f t="shared" si="46"/>
        <v>137.30000000000001</v>
      </c>
      <c r="F2956" s="8"/>
    </row>
    <row r="2957" spans="1:6" ht="18" customHeight="1">
      <c r="A2957" s="4" t="s">
        <v>93</v>
      </c>
      <c r="B2957" s="4" t="str">
        <f>"2020047525"</f>
        <v>2020047525</v>
      </c>
      <c r="C2957" s="5">
        <v>74</v>
      </c>
      <c r="D2957" s="6">
        <v>57</v>
      </c>
      <c r="E2957" s="7">
        <f t="shared" si="46"/>
        <v>131</v>
      </c>
      <c r="F2957" s="8"/>
    </row>
    <row r="2958" spans="1:6" ht="18" customHeight="1">
      <c r="A2958" s="4" t="s">
        <v>93</v>
      </c>
      <c r="B2958" s="4" t="str">
        <f>"2020020613"</f>
        <v>2020020613</v>
      </c>
      <c r="C2958" s="5">
        <v>58.8</v>
      </c>
      <c r="D2958" s="6">
        <v>72</v>
      </c>
      <c r="E2958" s="7">
        <f t="shared" si="46"/>
        <v>130.80000000000001</v>
      </c>
      <c r="F2958" s="8"/>
    </row>
    <row r="2959" spans="1:6" ht="18" customHeight="1">
      <c r="A2959" s="4" t="s">
        <v>93</v>
      </c>
      <c r="B2959" s="4" t="str">
        <f>"2020030517"</f>
        <v>2020030517</v>
      </c>
      <c r="C2959" s="5">
        <v>61.8</v>
      </c>
      <c r="D2959" s="6">
        <v>64.5</v>
      </c>
      <c r="E2959" s="7">
        <f t="shared" si="46"/>
        <v>126.3</v>
      </c>
      <c r="F2959" s="8"/>
    </row>
    <row r="2960" spans="1:6" ht="18" customHeight="1">
      <c r="A2960" s="4" t="s">
        <v>93</v>
      </c>
      <c r="B2960" s="4" t="str">
        <f>"2020043407"</f>
        <v>2020043407</v>
      </c>
      <c r="C2960" s="5">
        <v>62.7</v>
      </c>
      <c r="D2960" s="6">
        <v>55.5</v>
      </c>
      <c r="E2960" s="7">
        <f t="shared" si="46"/>
        <v>118.2</v>
      </c>
      <c r="F2960" s="8"/>
    </row>
    <row r="2961" spans="1:6" ht="18" customHeight="1">
      <c r="A2961" s="4" t="s">
        <v>93</v>
      </c>
      <c r="B2961" s="4" t="str">
        <f>"2020024106"</f>
        <v>2020024106</v>
      </c>
      <c r="C2961" s="5">
        <v>59.9</v>
      </c>
      <c r="D2961" s="6">
        <v>49</v>
      </c>
      <c r="E2961" s="7">
        <f t="shared" si="46"/>
        <v>108.9</v>
      </c>
      <c r="F2961" s="8"/>
    </row>
    <row r="2962" spans="1:6" ht="18" customHeight="1">
      <c r="A2962" s="4" t="s">
        <v>93</v>
      </c>
      <c r="B2962" s="4" t="str">
        <f>"2020021830"</f>
        <v>2020021830</v>
      </c>
      <c r="C2962" s="5">
        <v>0</v>
      </c>
      <c r="D2962" s="6">
        <v>0</v>
      </c>
      <c r="E2962" s="7">
        <f t="shared" si="46"/>
        <v>0</v>
      </c>
      <c r="F2962" s="8" t="s">
        <v>8</v>
      </c>
    </row>
    <row r="2963" spans="1:6" ht="18" customHeight="1">
      <c r="A2963" s="4" t="s">
        <v>93</v>
      </c>
      <c r="B2963" s="4" t="str">
        <f>"2020040421"</f>
        <v>2020040421</v>
      </c>
      <c r="C2963" s="5">
        <v>0</v>
      </c>
      <c r="D2963" s="6">
        <v>0</v>
      </c>
      <c r="E2963" s="7">
        <f t="shared" si="46"/>
        <v>0</v>
      </c>
      <c r="F2963" s="8" t="s">
        <v>8</v>
      </c>
    </row>
    <row r="2964" spans="1:6" ht="18" customHeight="1">
      <c r="A2964" s="4" t="s">
        <v>94</v>
      </c>
      <c r="B2964" s="4" t="str">
        <f>"2020021901"</f>
        <v>2020021901</v>
      </c>
      <c r="C2964" s="5">
        <v>68.7</v>
      </c>
      <c r="D2964" s="6">
        <v>85.5</v>
      </c>
      <c r="E2964" s="7">
        <f t="shared" si="46"/>
        <v>154.19999999999999</v>
      </c>
      <c r="F2964" s="8"/>
    </row>
    <row r="2965" spans="1:6" ht="18" customHeight="1">
      <c r="A2965" s="4" t="s">
        <v>94</v>
      </c>
      <c r="B2965" s="4" t="str">
        <f>"2020020321"</f>
        <v>2020020321</v>
      </c>
      <c r="C2965" s="5">
        <v>73</v>
      </c>
      <c r="D2965" s="6">
        <v>80.5</v>
      </c>
      <c r="E2965" s="7">
        <f t="shared" si="46"/>
        <v>153.5</v>
      </c>
      <c r="F2965" s="8"/>
    </row>
    <row r="2966" spans="1:6" ht="18" customHeight="1">
      <c r="A2966" s="4" t="s">
        <v>94</v>
      </c>
      <c r="B2966" s="4" t="str">
        <f>"2020047401"</f>
        <v>2020047401</v>
      </c>
      <c r="C2966" s="5">
        <v>74.2</v>
      </c>
      <c r="D2966" s="6">
        <v>74</v>
      </c>
      <c r="E2966" s="7">
        <f t="shared" si="46"/>
        <v>148.19999999999999</v>
      </c>
      <c r="F2966" s="8"/>
    </row>
    <row r="2967" spans="1:6" ht="18" customHeight="1">
      <c r="A2967" s="4" t="s">
        <v>94</v>
      </c>
      <c r="B2967" s="4" t="str">
        <f>"2020045617"</f>
        <v>2020045617</v>
      </c>
      <c r="C2967" s="5">
        <v>71.7</v>
      </c>
      <c r="D2967" s="6">
        <v>76</v>
      </c>
      <c r="E2967" s="7">
        <f t="shared" si="46"/>
        <v>147.69999999999999</v>
      </c>
      <c r="F2967" s="8"/>
    </row>
    <row r="2968" spans="1:6" ht="18" customHeight="1">
      <c r="A2968" s="4" t="s">
        <v>94</v>
      </c>
      <c r="B2968" s="4" t="str">
        <f>"2020047429"</f>
        <v>2020047429</v>
      </c>
      <c r="C2968" s="5">
        <v>71.5</v>
      </c>
      <c r="D2968" s="6">
        <v>75</v>
      </c>
      <c r="E2968" s="7">
        <f t="shared" si="46"/>
        <v>146.5</v>
      </c>
      <c r="F2968" s="8"/>
    </row>
    <row r="2969" spans="1:6" ht="18" customHeight="1">
      <c r="A2969" s="4" t="s">
        <v>94</v>
      </c>
      <c r="B2969" s="4" t="str">
        <f>"2020011615"</f>
        <v>2020011615</v>
      </c>
      <c r="C2969" s="5">
        <v>68.3</v>
      </c>
      <c r="D2969" s="6">
        <v>78</v>
      </c>
      <c r="E2969" s="7">
        <f t="shared" si="46"/>
        <v>146.30000000000001</v>
      </c>
      <c r="F2969" s="8"/>
    </row>
    <row r="2970" spans="1:6" ht="18" customHeight="1">
      <c r="A2970" s="4" t="s">
        <v>94</v>
      </c>
      <c r="B2970" s="4" t="str">
        <f>"2020013007"</f>
        <v>2020013007</v>
      </c>
      <c r="C2970" s="5">
        <v>65.7</v>
      </c>
      <c r="D2970" s="6">
        <v>80.5</v>
      </c>
      <c r="E2970" s="7">
        <f t="shared" si="46"/>
        <v>146.19999999999999</v>
      </c>
      <c r="F2970" s="8"/>
    </row>
    <row r="2971" spans="1:6" ht="18" customHeight="1">
      <c r="A2971" s="4" t="s">
        <v>94</v>
      </c>
      <c r="B2971" s="4" t="str">
        <f>"2020041603"</f>
        <v>2020041603</v>
      </c>
      <c r="C2971" s="5">
        <v>72.3</v>
      </c>
      <c r="D2971" s="6">
        <v>73</v>
      </c>
      <c r="E2971" s="7">
        <f t="shared" si="46"/>
        <v>145.30000000000001</v>
      </c>
      <c r="F2971" s="8"/>
    </row>
    <row r="2972" spans="1:6" ht="18" customHeight="1">
      <c r="A2972" s="4" t="s">
        <v>94</v>
      </c>
      <c r="B2972" s="4" t="str">
        <f>"2020023705"</f>
        <v>2020023705</v>
      </c>
      <c r="C2972" s="5">
        <v>65.2</v>
      </c>
      <c r="D2972" s="6">
        <v>79</v>
      </c>
      <c r="E2972" s="7">
        <f t="shared" si="46"/>
        <v>144.19999999999999</v>
      </c>
      <c r="F2972" s="8"/>
    </row>
    <row r="2973" spans="1:6" ht="18" customHeight="1">
      <c r="A2973" s="4" t="s">
        <v>94</v>
      </c>
      <c r="B2973" s="4" t="str">
        <f>"2020040827"</f>
        <v>2020040827</v>
      </c>
      <c r="C2973" s="5">
        <v>73.400000000000006</v>
      </c>
      <c r="D2973" s="6">
        <v>68</v>
      </c>
      <c r="E2973" s="7">
        <f t="shared" si="46"/>
        <v>141.4</v>
      </c>
      <c r="F2973" s="8"/>
    </row>
    <row r="2974" spans="1:6" ht="18" customHeight="1">
      <c r="A2974" s="4" t="s">
        <v>94</v>
      </c>
      <c r="B2974" s="4" t="str">
        <f>"2020032019"</f>
        <v>2020032019</v>
      </c>
      <c r="C2974" s="5">
        <v>66.8</v>
      </c>
      <c r="D2974" s="6">
        <v>73</v>
      </c>
      <c r="E2974" s="7">
        <f t="shared" si="46"/>
        <v>139.80000000000001</v>
      </c>
      <c r="F2974" s="8"/>
    </row>
    <row r="2975" spans="1:6" ht="18" customHeight="1">
      <c r="A2975" s="4" t="s">
        <v>94</v>
      </c>
      <c r="B2975" s="4" t="str">
        <f>"2020040830"</f>
        <v>2020040830</v>
      </c>
      <c r="C2975" s="5">
        <v>67.599999999999994</v>
      </c>
      <c r="D2975" s="6">
        <v>69.5</v>
      </c>
      <c r="E2975" s="7">
        <f t="shared" si="46"/>
        <v>137.1</v>
      </c>
      <c r="F2975" s="8"/>
    </row>
    <row r="2976" spans="1:6" ht="18" customHeight="1">
      <c r="A2976" s="4" t="s">
        <v>94</v>
      </c>
      <c r="B2976" s="4" t="str">
        <f>"2020010218"</f>
        <v>2020010218</v>
      </c>
      <c r="C2976" s="5">
        <v>61.9</v>
      </c>
      <c r="D2976" s="6">
        <v>73.5</v>
      </c>
      <c r="E2976" s="7">
        <f t="shared" si="46"/>
        <v>135.4</v>
      </c>
      <c r="F2976" s="8"/>
    </row>
    <row r="2977" spans="1:6" ht="18" customHeight="1">
      <c r="A2977" s="4" t="s">
        <v>94</v>
      </c>
      <c r="B2977" s="4" t="str">
        <f>"2020031712"</f>
        <v>2020031712</v>
      </c>
      <c r="C2977" s="5">
        <v>62</v>
      </c>
      <c r="D2977" s="6">
        <v>73</v>
      </c>
      <c r="E2977" s="7">
        <f t="shared" si="46"/>
        <v>135</v>
      </c>
      <c r="F2977" s="8"/>
    </row>
    <row r="2978" spans="1:6" ht="18" customHeight="1">
      <c r="A2978" s="4" t="s">
        <v>94</v>
      </c>
      <c r="B2978" s="4" t="str">
        <f>"2020031318"</f>
        <v>2020031318</v>
      </c>
      <c r="C2978" s="5">
        <v>73.900000000000006</v>
      </c>
      <c r="D2978" s="6">
        <v>60</v>
      </c>
      <c r="E2978" s="7">
        <f t="shared" si="46"/>
        <v>133.9</v>
      </c>
      <c r="F2978" s="8"/>
    </row>
    <row r="2979" spans="1:6" ht="18" customHeight="1">
      <c r="A2979" s="4" t="s">
        <v>94</v>
      </c>
      <c r="B2979" s="4" t="str">
        <f>"2020022820"</f>
        <v>2020022820</v>
      </c>
      <c r="C2979" s="5">
        <v>63.8</v>
      </c>
      <c r="D2979" s="6">
        <v>68.5</v>
      </c>
      <c r="E2979" s="7">
        <f t="shared" si="46"/>
        <v>132.30000000000001</v>
      </c>
      <c r="F2979" s="8"/>
    </row>
    <row r="2980" spans="1:6" ht="18" customHeight="1">
      <c r="A2980" s="4" t="s">
        <v>94</v>
      </c>
      <c r="B2980" s="4" t="str">
        <f>"2020012304"</f>
        <v>2020012304</v>
      </c>
      <c r="C2980" s="5">
        <v>66.7</v>
      </c>
      <c r="D2980" s="6">
        <v>63.5</v>
      </c>
      <c r="E2980" s="7">
        <f t="shared" si="46"/>
        <v>130.19999999999999</v>
      </c>
      <c r="F2980" s="8"/>
    </row>
    <row r="2981" spans="1:6" ht="18" customHeight="1">
      <c r="A2981" s="4" t="s">
        <v>94</v>
      </c>
      <c r="B2981" s="4" t="str">
        <f>"2020013610"</f>
        <v>2020013610</v>
      </c>
      <c r="C2981" s="5">
        <v>64.2</v>
      </c>
      <c r="D2981" s="6">
        <v>64.5</v>
      </c>
      <c r="E2981" s="7">
        <f t="shared" si="46"/>
        <v>128.69999999999999</v>
      </c>
      <c r="F2981" s="8"/>
    </row>
    <row r="2982" spans="1:6" ht="18" customHeight="1">
      <c r="A2982" s="4" t="s">
        <v>94</v>
      </c>
      <c r="B2982" s="4" t="str">
        <f>"2020044924"</f>
        <v>2020044924</v>
      </c>
      <c r="C2982" s="5">
        <v>63.3</v>
      </c>
      <c r="D2982" s="6">
        <v>61</v>
      </c>
      <c r="E2982" s="7">
        <f t="shared" si="46"/>
        <v>124.3</v>
      </c>
      <c r="F2982" s="8"/>
    </row>
    <row r="2983" spans="1:6" ht="18" customHeight="1">
      <c r="A2983" s="4" t="s">
        <v>94</v>
      </c>
      <c r="B2983" s="4" t="str">
        <f>"2020022618"</f>
        <v>2020022618</v>
      </c>
      <c r="C2983" s="5">
        <v>63.5</v>
      </c>
      <c r="D2983" s="6">
        <v>60</v>
      </c>
      <c r="E2983" s="7">
        <f t="shared" si="46"/>
        <v>123.5</v>
      </c>
      <c r="F2983" s="8"/>
    </row>
    <row r="2984" spans="1:6" ht="18" customHeight="1">
      <c r="A2984" s="4" t="s">
        <v>94</v>
      </c>
      <c r="B2984" s="4" t="str">
        <f>"2020011229"</f>
        <v>2020011229</v>
      </c>
      <c r="C2984" s="5">
        <v>64.400000000000006</v>
      </c>
      <c r="D2984" s="6">
        <v>45.5</v>
      </c>
      <c r="E2984" s="7">
        <f t="shared" si="46"/>
        <v>109.9</v>
      </c>
      <c r="F2984" s="8"/>
    </row>
    <row r="2985" spans="1:6" ht="18" customHeight="1">
      <c r="A2985" s="4" t="s">
        <v>94</v>
      </c>
      <c r="B2985" s="4" t="str">
        <f>"2020043206"</f>
        <v>2020043206</v>
      </c>
      <c r="C2985" s="5">
        <v>57</v>
      </c>
      <c r="D2985" s="6">
        <v>51.5</v>
      </c>
      <c r="E2985" s="7">
        <f t="shared" si="46"/>
        <v>108.5</v>
      </c>
      <c r="F2985" s="8"/>
    </row>
    <row r="2986" spans="1:6" ht="18" customHeight="1">
      <c r="A2986" s="4" t="s">
        <v>94</v>
      </c>
      <c r="B2986" s="4" t="str">
        <f>"2020012512"</f>
        <v>2020012512</v>
      </c>
      <c r="C2986" s="5">
        <v>0</v>
      </c>
      <c r="D2986" s="6">
        <v>0</v>
      </c>
      <c r="E2986" s="7">
        <f t="shared" si="46"/>
        <v>0</v>
      </c>
      <c r="F2986" s="9" t="s">
        <v>8</v>
      </c>
    </row>
    <row r="2987" spans="1:6" ht="18" customHeight="1">
      <c r="A2987" s="4" t="s">
        <v>94</v>
      </c>
      <c r="B2987" s="4" t="str">
        <f>"2020022414"</f>
        <v>2020022414</v>
      </c>
      <c r="C2987" s="5">
        <v>0</v>
      </c>
      <c r="D2987" s="6">
        <v>0</v>
      </c>
      <c r="E2987" s="7">
        <f t="shared" si="46"/>
        <v>0</v>
      </c>
      <c r="F2987" s="8" t="s">
        <v>8</v>
      </c>
    </row>
    <row r="2988" spans="1:6" ht="18" customHeight="1">
      <c r="A2988" s="4" t="s">
        <v>94</v>
      </c>
      <c r="B2988" s="4" t="str">
        <f>"2020031727"</f>
        <v>2020031727</v>
      </c>
      <c r="C2988" s="5">
        <v>0</v>
      </c>
      <c r="D2988" s="6">
        <v>0</v>
      </c>
      <c r="E2988" s="7">
        <f t="shared" si="46"/>
        <v>0</v>
      </c>
      <c r="F2988" s="8" t="s">
        <v>8</v>
      </c>
    </row>
    <row r="2989" spans="1:6" ht="18" customHeight="1">
      <c r="A2989" s="4" t="s">
        <v>94</v>
      </c>
      <c r="B2989" s="4" t="str">
        <f>"2020032308"</f>
        <v>2020032308</v>
      </c>
      <c r="C2989" s="5">
        <v>0</v>
      </c>
      <c r="D2989" s="6">
        <v>0</v>
      </c>
      <c r="E2989" s="7">
        <f t="shared" si="46"/>
        <v>0</v>
      </c>
      <c r="F2989" s="8" t="s">
        <v>8</v>
      </c>
    </row>
    <row r="2990" spans="1:6" ht="18" customHeight="1">
      <c r="A2990" s="4" t="s">
        <v>94</v>
      </c>
      <c r="B2990" s="4" t="str">
        <f>"2020043401"</f>
        <v>2020043401</v>
      </c>
      <c r="C2990" s="5">
        <v>0</v>
      </c>
      <c r="D2990" s="6">
        <v>0</v>
      </c>
      <c r="E2990" s="7">
        <f t="shared" si="46"/>
        <v>0</v>
      </c>
      <c r="F2990" s="8" t="s">
        <v>8</v>
      </c>
    </row>
    <row r="2991" spans="1:6" ht="18" customHeight="1">
      <c r="A2991" s="4" t="s">
        <v>95</v>
      </c>
      <c r="B2991" s="4" t="str">
        <f>"2020022803"</f>
        <v>2020022803</v>
      </c>
      <c r="C2991" s="5">
        <v>75.3</v>
      </c>
      <c r="D2991" s="6">
        <v>70</v>
      </c>
      <c r="E2991" s="7">
        <f t="shared" si="46"/>
        <v>145.30000000000001</v>
      </c>
      <c r="F2991" s="8"/>
    </row>
    <row r="2992" spans="1:6" ht="18" customHeight="1">
      <c r="A2992" s="4" t="s">
        <v>95</v>
      </c>
      <c r="B2992" s="4" t="str">
        <f>"2020045530"</f>
        <v>2020045530</v>
      </c>
      <c r="C2992" s="5">
        <v>66.900000000000006</v>
      </c>
      <c r="D2992" s="6">
        <v>64.5</v>
      </c>
      <c r="E2992" s="7">
        <f t="shared" si="46"/>
        <v>131.4</v>
      </c>
      <c r="F2992" s="8"/>
    </row>
    <row r="2993" spans="1:6" ht="18" customHeight="1">
      <c r="A2993" s="4" t="s">
        <v>95</v>
      </c>
      <c r="B2993" s="4" t="str">
        <f>"2020030416"</f>
        <v>2020030416</v>
      </c>
      <c r="C2993" s="5">
        <v>61.2</v>
      </c>
      <c r="D2993" s="6">
        <v>62.5</v>
      </c>
      <c r="E2993" s="7">
        <f t="shared" si="46"/>
        <v>123.7</v>
      </c>
      <c r="F2993" s="8"/>
    </row>
    <row r="2994" spans="1:6" ht="18" customHeight="1">
      <c r="A2994" s="4" t="s">
        <v>95</v>
      </c>
      <c r="B2994" s="4" t="str">
        <f>"2020011216"</f>
        <v>2020011216</v>
      </c>
      <c r="C2994" s="5">
        <v>66.599999999999994</v>
      </c>
      <c r="D2994" s="6">
        <v>48</v>
      </c>
      <c r="E2994" s="7">
        <f t="shared" si="46"/>
        <v>114.6</v>
      </c>
      <c r="F2994" s="8"/>
    </row>
    <row r="2995" spans="1:6" ht="18" customHeight="1">
      <c r="A2995" s="4" t="s">
        <v>96</v>
      </c>
      <c r="B2995" s="4" t="str">
        <f>"2020042120"</f>
        <v>2020042120</v>
      </c>
      <c r="C2995" s="5">
        <v>67</v>
      </c>
      <c r="D2995" s="6">
        <v>74</v>
      </c>
      <c r="E2995" s="7">
        <f t="shared" si="46"/>
        <v>141</v>
      </c>
      <c r="F2995" s="8"/>
    </row>
    <row r="2996" spans="1:6" ht="18" customHeight="1">
      <c r="A2996" s="4" t="s">
        <v>96</v>
      </c>
      <c r="B2996" s="4" t="str">
        <f>"2020043224"</f>
        <v>2020043224</v>
      </c>
      <c r="C2996" s="5">
        <v>67.099999999999994</v>
      </c>
      <c r="D2996" s="6">
        <v>65.5</v>
      </c>
      <c r="E2996" s="7">
        <f t="shared" si="46"/>
        <v>132.6</v>
      </c>
      <c r="F2996" s="8"/>
    </row>
    <row r="2997" spans="1:6" ht="18" customHeight="1">
      <c r="A2997" s="4" t="s">
        <v>96</v>
      </c>
      <c r="B2997" s="4" t="str">
        <f>"2020047613"</f>
        <v>2020047613</v>
      </c>
      <c r="C2997" s="5">
        <v>0</v>
      </c>
      <c r="D2997" s="6">
        <v>0</v>
      </c>
      <c r="E2997" s="7">
        <f t="shared" si="46"/>
        <v>0</v>
      </c>
      <c r="F2997" s="8" t="s">
        <v>8</v>
      </c>
    </row>
    <row r="2998" spans="1:6" ht="18" customHeight="1">
      <c r="A2998" s="4" t="s">
        <v>97</v>
      </c>
      <c r="B2998" s="4" t="str">
        <f>"2020043115"</f>
        <v>2020043115</v>
      </c>
      <c r="C2998" s="5">
        <v>68.5</v>
      </c>
      <c r="D2998" s="6">
        <v>85.5</v>
      </c>
      <c r="E2998" s="7">
        <f t="shared" si="46"/>
        <v>154</v>
      </c>
      <c r="F2998" s="8"/>
    </row>
    <row r="2999" spans="1:6" ht="18" customHeight="1">
      <c r="A2999" s="4" t="s">
        <v>97</v>
      </c>
      <c r="B2999" s="4" t="str">
        <f>"2020011119"</f>
        <v>2020011119</v>
      </c>
      <c r="C2999" s="5">
        <v>81.3</v>
      </c>
      <c r="D2999" s="6">
        <v>69.5</v>
      </c>
      <c r="E2999" s="7">
        <f t="shared" si="46"/>
        <v>150.80000000000001</v>
      </c>
      <c r="F2999" s="8"/>
    </row>
    <row r="3000" spans="1:6" ht="18" customHeight="1">
      <c r="A3000" s="4" t="s">
        <v>97</v>
      </c>
      <c r="B3000" s="4" t="str">
        <f>"2020032930"</f>
        <v>2020032930</v>
      </c>
      <c r="C3000" s="5">
        <v>72.5</v>
      </c>
      <c r="D3000" s="6">
        <v>71.5</v>
      </c>
      <c r="E3000" s="7">
        <f t="shared" si="46"/>
        <v>144</v>
      </c>
      <c r="F3000" s="8"/>
    </row>
    <row r="3001" spans="1:6" ht="18" customHeight="1">
      <c r="A3001" s="4" t="s">
        <v>97</v>
      </c>
      <c r="B3001" s="4" t="str">
        <f>"2020011204"</f>
        <v>2020011204</v>
      </c>
      <c r="C3001" s="5">
        <v>66.7</v>
      </c>
      <c r="D3001" s="6">
        <v>69.5</v>
      </c>
      <c r="E3001" s="7">
        <f t="shared" si="46"/>
        <v>136.19999999999999</v>
      </c>
      <c r="F3001" s="8"/>
    </row>
    <row r="3002" spans="1:6" ht="18" customHeight="1">
      <c r="A3002" s="4" t="s">
        <v>97</v>
      </c>
      <c r="B3002" s="4" t="str">
        <f>"2020033126"</f>
        <v>2020033126</v>
      </c>
      <c r="C3002" s="5">
        <v>64.5</v>
      </c>
      <c r="D3002" s="6">
        <v>71.5</v>
      </c>
      <c r="E3002" s="7">
        <f t="shared" si="46"/>
        <v>136</v>
      </c>
      <c r="F3002" s="8"/>
    </row>
    <row r="3003" spans="1:6" ht="18" customHeight="1">
      <c r="A3003" s="4" t="s">
        <v>97</v>
      </c>
      <c r="B3003" s="4" t="str">
        <f>"2020047421"</f>
        <v>2020047421</v>
      </c>
      <c r="C3003" s="5">
        <v>59.7</v>
      </c>
      <c r="D3003" s="6">
        <v>52</v>
      </c>
      <c r="E3003" s="7">
        <f t="shared" si="46"/>
        <v>111.7</v>
      </c>
      <c r="F3003" s="8"/>
    </row>
    <row r="3004" spans="1:6" ht="18" customHeight="1">
      <c r="A3004" s="4" t="s">
        <v>97</v>
      </c>
      <c r="B3004" s="4" t="str">
        <f>"2020032030"</f>
        <v>2020032030</v>
      </c>
      <c r="C3004" s="5">
        <v>0</v>
      </c>
      <c r="D3004" s="6">
        <v>0</v>
      </c>
      <c r="E3004" s="7">
        <f t="shared" si="46"/>
        <v>0</v>
      </c>
      <c r="F3004" s="8" t="s">
        <v>8</v>
      </c>
    </row>
    <row r="3005" spans="1:6" ht="18" customHeight="1">
      <c r="A3005" s="4" t="s">
        <v>97</v>
      </c>
      <c r="B3005" s="4" t="str">
        <f>"2020040801"</f>
        <v>2020040801</v>
      </c>
      <c r="C3005" s="5">
        <v>0</v>
      </c>
      <c r="D3005" s="6">
        <v>0</v>
      </c>
      <c r="E3005" s="7">
        <f t="shared" si="46"/>
        <v>0</v>
      </c>
      <c r="F3005" s="8" t="s">
        <v>8</v>
      </c>
    </row>
    <row r="3006" spans="1:6" ht="18" customHeight="1">
      <c r="A3006" s="4" t="s">
        <v>97</v>
      </c>
      <c r="B3006" s="4" t="str">
        <f>"2020045026"</f>
        <v>2020045026</v>
      </c>
      <c r="C3006" s="5">
        <v>0</v>
      </c>
      <c r="D3006" s="6">
        <v>0</v>
      </c>
      <c r="E3006" s="7">
        <f t="shared" si="46"/>
        <v>0</v>
      </c>
      <c r="F3006" s="8" t="s">
        <v>8</v>
      </c>
    </row>
    <row r="3007" spans="1:6" ht="18" customHeight="1">
      <c r="A3007" s="4" t="s">
        <v>98</v>
      </c>
      <c r="B3007" s="4" t="str">
        <f>"2020030110"</f>
        <v>2020030110</v>
      </c>
      <c r="C3007" s="5">
        <v>74.400000000000006</v>
      </c>
      <c r="D3007" s="6">
        <v>76</v>
      </c>
      <c r="E3007" s="7">
        <f t="shared" si="46"/>
        <v>150.4</v>
      </c>
      <c r="F3007" s="8"/>
    </row>
    <row r="3008" spans="1:6" ht="18" customHeight="1">
      <c r="A3008" s="4" t="s">
        <v>98</v>
      </c>
      <c r="B3008" s="4" t="str">
        <f>"2020011030"</f>
        <v>2020011030</v>
      </c>
      <c r="C3008" s="5">
        <v>0</v>
      </c>
      <c r="D3008" s="6">
        <v>0</v>
      </c>
      <c r="E3008" s="7">
        <f t="shared" si="46"/>
        <v>0</v>
      </c>
      <c r="F3008" s="9" t="s">
        <v>8</v>
      </c>
    </row>
    <row r="3009" spans="1:6" ht="18" customHeight="1">
      <c r="A3009" s="4" t="s">
        <v>98</v>
      </c>
      <c r="B3009" s="4" t="str">
        <f>"2020011527"</f>
        <v>2020011527</v>
      </c>
      <c r="C3009" s="5">
        <v>0</v>
      </c>
      <c r="D3009" s="6">
        <v>0</v>
      </c>
      <c r="E3009" s="7">
        <f t="shared" si="46"/>
        <v>0</v>
      </c>
      <c r="F3009" s="9" t="s">
        <v>8</v>
      </c>
    </row>
    <row r="3010" spans="1:6" ht="18" customHeight="1">
      <c r="A3010" s="4" t="s">
        <v>98</v>
      </c>
      <c r="B3010" s="4" t="str">
        <f>"2020012124"</f>
        <v>2020012124</v>
      </c>
      <c r="C3010" s="5">
        <v>0</v>
      </c>
      <c r="D3010" s="6">
        <v>0</v>
      </c>
      <c r="E3010" s="7">
        <f t="shared" si="46"/>
        <v>0</v>
      </c>
      <c r="F3010" s="9" t="s">
        <v>8</v>
      </c>
    </row>
    <row r="3011" spans="1:6" ht="18" customHeight="1">
      <c r="A3011" s="4" t="s">
        <v>98</v>
      </c>
      <c r="B3011" s="4" t="str">
        <f>"2020023018"</f>
        <v>2020023018</v>
      </c>
      <c r="C3011" s="5">
        <v>0</v>
      </c>
      <c r="D3011" s="6">
        <v>0</v>
      </c>
      <c r="E3011" s="7">
        <f t="shared" ref="E3011:E3074" si="47">SUM(C3011:D3011)</f>
        <v>0</v>
      </c>
      <c r="F3011" s="8" t="s">
        <v>8</v>
      </c>
    </row>
    <row r="3012" spans="1:6" ht="18" customHeight="1">
      <c r="A3012" s="4" t="s">
        <v>98</v>
      </c>
      <c r="B3012" s="4" t="str">
        <f>"2020023720"</f>
        <v>2020023720</v>
      </c>
      <c r="C3012" s="5">
        <v>0</v>
      </c>
      <c r="D3012" s="6">
        <v>0</v>
      </c>
      <c r="E3012" s="7">
        <f t="shared" si="47"/>
        <v>0</v>
      </c>
      <c r="F3012" s="8" t="s">
        <v>8</v>
      </c>
    </row>
    <row r="3013" spans="1:6" ht="18" customHeight="1">
      <c r="A3013" s="4" t="s">
        <v>98</v>
      </c>
      <c r="B3013" s="4" t="str">
        <f>"2020024727"</f>
        <v>2020024727</v>
      </c>
      <c r="C3013" s="5">
        <v>0</v>
      </c>
      <c r="D3013" s="6">
        <v>0</v>
      </c>
      <c r="E3013" s="7">
        <f t="shared" si="47"/>
        <v>0</v>
      </c>
      <c r="F3013" s="8" t="s">
        <v>8</v>
      </c>
    </row>
    <row r="3014" spans="1:6" ht="18" customHeight="1">
      <c r="A3014" s="4" t="s">
        <v>98</v>
      </c>
      <c r="B3014" s="4" t="str">
        <f>"2020033524"</f>
        <v>2020033524</v>
      </c>
      <c r="C3014" s="5">
        <v>0</v>
      </c>
      <c r="D3014" s="6">
        <v>0</v>
      </c>
      <c r="E3014" s="7">
        <f t="shared" si="47"/>
        <v>0</v>
      </c>
      <c r="F3014" s="8" t="s">
        <v>8</v>
      </c>
    </row>
    <row r="3015" spans="1:6" ht="18" customHeight="1">
      <c r="A3015" s="4" t="s">
        <v>98</v>
      </c>
      <c r="B3015" s="4" t="str">
        <f>"2020046912"</f>
        <v>2020046912</v>
      </c>
      <c r="C3015" s="5">
        <v>0</v>
      </c>
      <c r="D3015" s="6">
        <v>0</v>
      </c>
      <c r="E3015" s="7">
        <f t="shared" si="47"/>
        <v>0</v>
      </c>
      <c r="F3015" s="8" t="s">
        <v>8</v>
      </c>
    </row>
    <row r="3016" spans="1:6" ht="18" customHeight="1">
      <c r="A3016" s="4" t="s">
        <v>99</v>
      </c>
      <c r="B3016" s="4" t="str">
        <f>"2020047318"</f>
        <v>2020047318</v>
      </c>
      <c r="C3016" s="5">
        <v>81.3</v>
      </c>
      <c r="D3016" s="6">
        <v>81.5</v>
      </c>
      <c r="E3016" s="7">
        <f t="shared" si="47"/>
        <v>162.80000000000001</v>
      </c>
      <c r="F3016" s="8"/>
    </row>
    <row r="3017" spans="1:6" ht="18" customHeight="1">
      <c r="A3017" s="4" t="s">
        <v>99</v>
      </c>
      <c r="B3017" s="4" t="str">
        <f>"2020040701"</f>
        <v>2020040701</v>
      </c>
      <c r="C3017" s="5">
        <v>72.7</v>
      </c>
      <c r="D3017" s="6">
        <v>76.5</v>
      </c>
      <c r="E3017" s="7">
        <f t="shared" si="47"/>
        <v>149.19999999999999</v>
      </c>
      <c r="F3017" s="8"/>
    </row>
    <row r="3018" spans="1:6" ht="18" customHeight="1">
      <c r="A3018" s="4" t="s">
        <v>99</v>
      </c>
      <c r="B3018" s="4" t="str">
        <f>"2020042102"</f>
        <v>2020042102</v>
      </c>
      <c r="C3018" s="5">
        <v>71.8</v>
      </c>
      <c r="D3018" s="6">
        <v>77</v>
      </c>
      <c r="E3018" s="7">
        <f t="shared" si="47"/>
        <v>148.80000000000001</v>
      </c>
      <c r="F3018" s="8"/>
    </row>
    <row r="3019" spans="1:6" ht="18" customHeight="1">
      <c r="A3019" s="4" t="s">
        <v>99</v>
      </c>
      <c r="B3019" s="4" t="str">
        <f>"2020011622"</f>
        <v>2020011622</v>
      </c>
      <c r="C3019" s="5">
        <v>71.599999999999994</v>
      </c>
      <c r="D3019" s="6">
        <v>74</v>
      </c>
      <c r="E3019" s="7">
        <f t="shared" si="47"/>
        <v>145.6</v>
      </c>
      <c r="F3019" s="8"/>
    </row>
    <row r="3020" spans="1:6" ht="18" customHeight="1">
      <c r="A3020" s="4" t="s">
        <v>99</v>
      </c>
      <c r="B3020" s="4" t="str">
        <f>"2020045416"</f>
        <v>2020045416</v>
      </c>
      <c r="C3020" s="5">
        <v>74.599999999999994</v>
      </c>
      <c r="D3020" s="6">
        <v>67</v>
      </c>
      <c r="E3020" s="7">
        <f t="shared" si="47"/>
        <v>141.6</v>
      </c>
      <c r="F3020" s="8"/>
    </row>
    <row r="3021" spans="1:6" ht="18" customHeight="1">
      <c r="A3021" s="4" t="s">
        <v>99</v>
      </c>
      <c r="B3021" s="4" t="str">
        <f>"2020046208"</f>
        <v>2020046208</v>
      </c>
      <c r="C3021" s="5">
        <v>69.7</v>
      </c>
      <c r="D3021" s="6">
        <v>70</v>
      </c>
      <c r="E3021" s="7">
        <f t="shared" si="47"/>
        <v>139.69999999999999</v>
      </c>
      <c r="F3021" s="8"/>
    </row>
    <row r="3022" spans="1:6" ht="18" customHeight="1">
      <c r="A3022" s="4" t="s">
        <v>99</v>
      </c>
      <c r="B3022" s="4" t="str">
        <f>"2020030805"</f>
        <v>2020030805</v>
      </c>
      <c r="C3022" s="5">
        <v>67.5</v>
      </c>
      <c r="D3022" s="6">
        <v>69</v>
      </c>
      <c r="E3022" s="7">
        <f t="shared" si="47"/>
        <v>136.5</v>
      </c>
      <c r="F3022" s="8"/>
    </row>
    <row r="3023" spans="1:6" ht="18" customHeight="1">
      <c r="A3023" s="4" t="s">
        <v>99</v>
      </c>
      <c r="B3023" s="4" t="str">
        <f>"2020031824"</f>
        <v>2020031824</v>
      </c>
      <c r="C3023" s="5">
        <v>67.5</v>
      </c>
      <c r="D3023" s="6">
        <v>56.5</v>
      </c>
      <c r="E3023" s="7">
        <f t="shared" si="47"/>
        <v>124</v>
      </c>
      <c r="F3023" s="8"/>
    </row>
    <row r="3024" spans="1:6" ht="18" customHeight="1">
      <c r="A3024" s="4" t="s">
        <v>99</v>
      </c>
      <c r="B3024" s="4" t="str">
        <f>"2020046413"</f>
        <v>2020046413</v>
      </c>
      <c r="C3024" s="5">
        <v>60.3</v>
      </c>
      <c r="D3024" s="6">
        <v>61.5</v>
      </c>
      <c r="E3024" s="7">
        <f t="shared" si="47"/>
        <v>121.8</v>
      </c>
      <c r="F3024" s="8"/>
    </row>
    <row r="3025" spans="1:6" ht="18" customHeight="1">
      <c r="A3025" s="4" t="s">
        <v>99</v>
      </c>
      <c r="B3025" s="4" t="str">
        <f>"2020046306"</f>
        <v>2020046306</v>
      </c>
      <c r="C3025" s="5">
        <v>66.599999999999994</v>
      </c>
      <c r="D3025" s="6">
        <v>55</v>
      </c>
      <c r="E3025" s="7">
        <f t="shared" si="47"/>
        <v>121.6</v>
      </c>
      <c r="F3025" s="8"/>
    </row>
    <row r="3026" spans="1:6" ht="18" customHeight="1">
      <c r="A3026" s="4" t="s">
        <v>99</v>
      </c>
      <c r="B3026" s="4" t="str">
        <f>"2020030722"</f>
        <v>2020030722</v>
      </c>
      <c r="C3026" s="5">
        <v>0</v>
      </c>
      <c r="D3026" s="6">
        <v>0</v>
      </c>
      <c r="E3026" s="7">
        <f t="shared" si="47"/>
        <v>0</v>
      </c>
      <c r="F3026" s="8" t="s">
        <v>8</v>
      </c>
    </row>
    <row r="3027" spans="1:6" ht="18" customHeight="1">
      <c r="A3027" s="4" t="s">
        <v>99</v>
      </c>
      <c r="B3027" s="4" t="str">
        <f>"2020043327"</f>
        <v>2020043327</v>
      </c>
      <c r="C3027" s="5">
        <v>0</v>
      </c>
      <c r="D3027" s="6">
        <v>0</v>
      </c>
      <c r="E3027" s="7">
        <f t="shared" si="47"/>
        <v>0</v>
      </c>
      <c r="F3027" s="8" t="s">
        <v>8</v>
      </c>
    </row>
    <row r="3028" spans="1:6" ht="18" customHeight="1">
      <c r="A3028" s="4" t="s">
        <v>99</v>
      </c>
      <c r="B3028" s="4" t="str">
        <f>"2020045125"</f>
        <v>2020045125</v>
      </c>
      <c r="C3028" s="5">
        <v>0</v>
      </c>
      <c r="D3028" s="6">
        <v>0</v>
      </c>
      <c r="E3028" s="7">
        <f t="shared" si="47"/>
        <v>0</v>
      </c>
      <c r="F3028" s="8" t="s">
        <v>8</v>
      </c>
    </row>
    <row r="3029" spans="1:6" ht="18" customHeight="1">
      <c r="A3029" s="4" t="s">
        <v>100</v>
      </c>
      <c r="B3029" s="4" t="str">
        <f>"2020042921"</f>
        <v>2020042921</v>
      </c>
      <c r="C3029" s="5">
        <v>76.7</v>
      </c>
      <c r="D3029" s="6">
        <v>81.5</v>
      </c>
      <c r="E3029" s="7">
        <f t="shared" si="47"/>
        <v>158.19999999999999</v>
      </c>
      <c r="F3029" s="8"/>
    </row>
    <row r="3030" spans="1:6" ht="18" customHeight="1">
      <c r="A3030" s="4" t="s">
        <v>100</v>
      </c>
      <c r="B3030" s="4" t="str">
        <f>"2020032504"</f>
        <v>2020032504</v>
      </c>
      <c r="C3030" s="5">
        <v>67.599999999999994</v>
      </c>
      <c r="D3030" s="6">
        <v>67</v>
      </c>
      <c r="E3030" s="7">
        <f t="shared" si="47"/>
        <v>134.6</v>
      </c>
      <c r="F3030" s="8"/>
    </row>
    <row r="3031" spans="1:6" ht="18" customHeight="1">
      <c r="A3031" s="4" t="s">
        <v>100</v>
      </c>
      <c r="B3031" s="4" t="str">
        <f>"2020023826"</f>
        <v>2020023826</v>
      </c>
      <c r="C3031" s="5">
        <v>65.2</v>
      </c>
      <c r="D3031" s="6">
        <v>62</v>
      </c>
      <c r="E3031" s="7">
        <f t="shared" si="47"/>
        <v>127.2</v>
      </c>
      <c r="F3031" s="8"/>
    </row>
    <row r="3032" spans="1:6" ht="18" customHeight="1">
      <c r="A3032" s="4" t="s">
        <v>100</v>
      </c>
      <c r="B3032" s="4" t="str">
        <f>"2020046916"</f>
        <v>2020046916</v>
      </c>
      <c r="C3032" s="5">
        <v>63.8</v>
      </c>
      <c r="D3032" s="6">
        <v>54.5</v>
      </c>
      <c r="E3032" s="7">
        <f t="shared" si="47"/>
        <v>118.3</v>
      </c>
      <c r="F3032" s="8"/>
    </row>
    <row r="3033" spans="1:6" ht="18" customHeight="1">
      <c r="A3033" s="4" t="s">
        <v>100</v>
      </c>
      <c r="B3033" s="4" t="str">
        <f>"2020011109"</f>
        <v>2020011109</v>
      </c>
      <c r="C3033" s="5">
        <v>0</v>
      </c>
      <c r="D3033" s="6">
        <v>0</v>
      </c>
      <c r="E3033" s="7">
        <f t="shared" si="47"/>
        <v>0</v>
      </c>
      <c r="F3033" s="9" t="s">
        <v>8</v>
      </c>
    </row>
    <row r="3034" spans="1:6" ht="18" customHeight="1">
      <c r="A3034" s="4" t="s">
        <v>100</v>
      </c>
      <c r="B3034" s="4" t="str">
        <f>"2020031301"</f>
        <v>2020031301</v>
      </c>
      <c r="C3034" s="5">
        <v>0</v>
      </c>
      <c r="D3034" s="6">
        <v>0</v>
      </c>
      <c r="E3034" s="7">
        <f t="shared" si="47"/>
        <v>0</v>
      </c>
      <c r="F3034" s="8" t="s">
        <v>8</v>
      </c>
    </row>
    <row r="3035" spans="1:6" ht="18" customHeight="1">
      <c r="A3035" s="4" t="s">
        <v>100</v>
      </c>
      <c r="B3035" s="4" t="str">
        <f>"2020031827"</f>
        <v>2020031827</v>
      </c>
      <c r="C3035" s="5">
        <v>0</v>
      </c>
      <c r="D3035" s="6">
        <v>0</v>
      </c>
      <c r="E3035" s="7">
        <f t="shared" si="47"/>
        <v>0</v>
      </c>
      <c r="F3035" s="8" t="s">
        <v>8</v>
      </c>
    </row>
    <row r="3036" spans="1:6" ht="18" customHeight="1">
      <c r="A3036" s="4" t="s">
        <v>100</v>
      </c>
      <c r="B3036" s="4" t="str">
        <f>"2020042726"</f>
        <v>2020042726</v>
      </c>
      <c r="C3036" s="5">
        <v>0</v>
      </c>
      <c r="D3036" s="6">
        <v>0</v>
      </c>
      <c r="E3036" s="7">
        <f t="shared" si="47"/>
        <v>0</v>
      </c>
      <c r="F3036" s="8" t="s">
        <v>8</v>
      </c>
    </row>
    <row r="3037" spans="1:6" ht="18" customHeight="1">
      <c r="A3037" s="4" t="s">
        <v>100</v>
      </c>
      <c r="B3037" s="4" t="str">
        <f>"2020047028"</f>
        <v>2020047028</v>
      </c>
      <c r="C3037" s="5">
        <v>0</v>
      </c>
      <c r="D3037" s="6">
        <v>0</v>
      </c>
      <c r="E3037" s="7">
        <f t="shared" si="47"/>
        <v>0</v>
      </c>
      <c r="F3037" s="8" t="s">
        <v>8</v>
      </c>
    </row>
    <row r="3038" spans="1:6" ht="18" customHeight="1">
      <c r="A3038" s="4" t="s">
        <v>101</v>
      </c>
      <c r="B3038" s="4" t="str">
        <f>"2020040429"</f>
        <v>2020040429</v>
      </c>
      <c r="C3038" s="5">
        <v>67.099999999999994</v>
      </c>
      <c r="D3038" s="6">
        <v>81</v>
      </c>
      <c r="E3038" s="7">
        <f t="shared" si="47"/>
        <v>148.1</v>
      </c>
      <c r="F3038" s="8"/>
    </row>
    <row r="3039" spans="1:6" ht="18" customHeight="1">
      <c r="A3039" s="4" t="s">
        <v>101</v>
      </c>
      <c r="B3039" s="4" t="str">
        <f>"2020031604"</f>
        <v>2020031604</v>
      </c>
      <c r="C3039" s="5">
        <v>64.2</v>
      </c>
      <c r="D3039" s="6">
        <v>70.5</v>
      </c>
      <c r="E3039" s="7">
        <f t="shared" si="47"/>
        <v>134.69999999999999</v>
      </c>
      <c r="F3039" s="8"/>
    </row>
    <row r="3040" spans="1:6" ht="18" customHeight="1">
      <c r="A3040" s="4" t="s">
        <v>101</v>
      </c>
      <c r="B3040" s="4" t="str">
        <f>"2020031008"</f>
        <v>2020031008</v>
      </c>
      <c r="C3040" s="5">
        <v>65</v>
      </c>
      <c r="D3040" s="6">
        <v>68</v>
      </c>
      <c r="E3040" s="7">
        <f t="shared" si="47"/>
        <v>133</v>
      </c>
      <c r="F3040" s="8"/>
    </row>
    <row r="3041" spans="1:6" ht="18" customHeight="1">
      <c r="A3041" s="4" t="s">
        <v>101</v>
      </c>
      <c r="B3041" s="4" t="str">
        <f>"2020042208"</f>
        <v>2020042208</v>
      </c>
      <c r="C3041" s="5">
        <v>71.5</v>
      </c>
      <c r="D3041" s="6">
        <v>59.5</v>
      </c>
      <c r="E3041" s="7">
        <f t="shared" si="47"/>
        <v>131</v>
      </c>
      <c r="F3041" s="8"/>
    </row>
    <row r="3042" spans="1:6" ht="18" customHeight="1">
      <c r="A3042" s="4" t="s">
        <v>101</v>
      </c>
      <c r="B3042" s="4" t="str">
        <f>"2020020409"</f>
        <v>2020020409</v>
      </c>
      <c r="C3042" s="5">
        <v>64.900000000000006</v>
      </c>
      <c r="D3042" s="6">
        <v>66</v>
      </c>
      <c r="E3042" s="7">
        <f t="shared" si="47"/>
        <v>130.9</v>
      </c>
      <c r="F3042" s="8"/>
    </row>
    <row r="3043" spans="1:6" ht="18" customHeight="1">
      <c r="A3043" s="4" t="s">
        <v>101</v>
      </c>
      <c r="B3043" s="4" t="str">
        <f>"2020011515"</f>
        <v>2020011515</v>
      </c>
      <c r="C3043" s="5">
        <v>64.3</v>
      </c>
      <c r="D3043" s="6">
        <v>56.5</v>
      </c>
      <c r="E3043" s="7">
        <f t="shared" si="47"/>
        <v>120.8</v>
      </c>
      <c r="F3043" s="8"/>
    </row>
    <row r="3044" spans="1:6" ht="18" customHeight="1">
      <c r="A3044" s="4" t="s">
        <v>101</v>
      </c>
      <c r="B3044" s="4" t="str">
        <f>"2020013823"</f>
        <v>2020013823</v>
      </c>
      <c r="C3044" s="5">
        <v>55.1</v>
      </c>
      <c r="D3044" s="6">
        <v>52.5</v>
      </c>
      <c r="E3044" s="7">
        <f t="shared" si="47"/>
        <v>107.6</v>
      </c>
      <c r="F3044" s="8"/>
    </row>
    <row r="3045" spans="1:6" ht="18" customHeight="1">
      <c r="A3045" s="4" t="s">
        <v>101</v>
      </c>
      <c r="B3045" s="4" t="str">
        <f>"2020031010"</f>
        <v>2020031010</v>
      </c>
      <c r="C3045" s="5">
        <v>0</v>
      </c>
      <c r="D3045" s="6">
        <v>0</v>
      </c>
      <c r="E3045" s="7">
        <f t="shared" si="47"/>
        <v>0</v>
      </c>
      <c r="F3045" s="8" t="s">
        <v>8</v>
      </c>
    </row>
    <row r="3046" spans="1:6" ht="18" customHeight="1">
      <c r="A3046" s="4" t="s">
        <v>101</v>
      </c>
      <c r="B3046" s="4" t="str">
        <f>"2020031406"</f>
        <v>2020031406</v>
      </c>
      <c r="C3046" s="5">
        <v>0</v>
      </c>
      <c r="D3046" s="6">
        <v>0</v>
      </c>
      <c r="E3046" s="7">
        <f t="shared" si="47"/>
        <v>0</v>
      </c>
      <c r="F3046" s="8" t="s">
        <v>8</v>
      </c>
    </row>
    <row r="3047" spans="1:6" ht="18" customHeight="1">
      <c r="A3047" s="4" t="s">
        <v>102</v>
      </c>
      <c r="B3047" s="4" t="str">
        <f>"2020021206"</f>
        <v>2020021206</v>
      </c>
      <c r="C3047" s="5">
        <v>79.7</v>
      </c>
      <c r="D3047" s="6">
        <v>82.5</v>
      </c>
      <c r="E3047" s="7">
        <f t="shared" si="47"/>
        <v>162.19999999999999</v>
      </c>
      <c r="F3047" s="8"/>
    </row>
    <row r="3048" spans="1:6" ht="18" customHeight="1">
      <c r="A3048" s="4" t="s">
        <v>102</v>
      </c>
      <c r="B3048" s="4" t="str">
        <f>"2020033416"</f>
        <v>2020033416</v>
      </c>
      <c r="C3048" s="5">
        <v>83.3</v>
      </c>
      <c r="D3048" s="6">
        <v>77.5</v>
      </c>
      <c r="E3048" s="7">
        <f t="shared" si="47"/>
        <v>160.80000000000001</v>
      </c>
      <c r="F3048" s="8"/>
    </row>
    <row r="3049" spans="1:6" ht="18" customHeight="1">
      <c r="A3049" s="4" t="s">
        <v>102</v>
      </c>
      <c r="B3049" s="4" t="str">
        <f>"2020010219"</f>
        <v>2020010219</v>
      </c>
      <c r="C3049" s="5">
        <v>76.2</v>
      </c>
      <c r="D3049" s="6">
        <v>79</v>
      </c>
      <c r="E3049" s="7">
        <f t="shared" si="47"/>
        <v>155.19999999999999</v>
      </c>
      <c r="F3049" s="8"/>
    </row>
    <row r="3050" spans="1:6" ht="18" customHeight="1">
      <c r="A3050" s="4" t="s">
        <v>102</v>
      </c>
      <c r="B3050" s="4" t="str">
        <f>"2020021130"</f>
        <v>2020021130</v>
      </c>
      <c r="C3050" s="5">
        <v>74.900000000000006</v>
      </c>
      <c r="D3050" s="6">
        <v>77</v>
      </c>
      <c r="E3050" s="7">
        <f t="shared" si="47"/>
        <v>151.9</v>
      </c>
      <c r="F3050" s="8"/>
    </row>
    <row r="3051" spans="1:6" ht="18" customHeight="1">
      <c r="A3051" s="4" t="s">
        <v>102</v>
      </c>
      <c r="B3051" s="4" t="str">
        <f>"2020020510"</f>
        <v>2020020510</v>
      </c>
      <c r="C3051" s="5">
        <v>68.900000000000006</v>
      </c>
      <c r="D3051" s="6">
        <v>81</v>
      </c>
      <c r="E3051" s="7">
        <f t="shared" si="47"/>
        <v>149.9</v>
      </c>
      <c r="F3051" s="8"/>
    </row>
    <row r="3052" spans="1:6" ht="18" customHeight="1">
      <c r="A3052" s="4" t="s">
        <v>102</v>
      </c>
      <c r="B3052" s="4" t="str">
        <f>"2020045702"</f>
        <v>2020045702</v>
      </c>
      <c r="C3052" s="5">
        <v>68.7</v>
      </c>
      <c r="D3052" s="6">
        <v>80.5</v>
      </c>
      <c r="E3052" s="7">
        <f t="shared" si="47"/>
        <v>149.19999999999999</v>
      </c>
      <c r="F3052" s="8"/>
    </row>
    <row r="3053" spans="1:6" ht="18" customHeight="1">
      <c r="A3053" s="4" t="s">
        <v>102</v>
      </c>
      <c r="B3053" s="4" t="str">
        <f>"2020041420"</f>
        <v>2020041420</v>
      </c>
      <c r="C3053" s="5">
        <v>70</v>
      </c>
      <c r="D3053" s="6">
        <v>78</v>
      </c>
      <c r="E3053" s="7">
        <f t="shared" si="47"/>
        <v>148</v>
      </c>
      <c r="F3053" s="8"/>
    </row>
    <row r="3054" spans="1:6" ht="18" customHeight="1">
      <c r="A3054" s="4" t="s">
        <v>102</v>
      </c>
      <c r="B3054" s="4" t="str">
        <f>"2020030513"</f>
        <v>2020030513</v>
      </c>
      <c r="C3054" s="5">
        <v>62.6</v>
      </c>
      <c r="D3054" s="6">
        <v>81</v>
      </c>
      <c r="E3054" s="7">
        <f t="shared" si="47"/>
        <v>143.6</v>
      </c>
      <c r="F3054" s="8"/>
    </row>
    <row r="3055" spans="1:6" ht="18" customHeight="1">
      <c r="A3055" s="4" t="s">
        <v>102</v>
      </c>
      <c r="B3055" s="4" t="str">
        <f>"2020012215"</f>
        <v>2020012215</v>
      </c>
      <c r="C3055" s="5">
        <v>73.900000000000006</v>
      </c>
      <c r="D3055" s="6">
        <v>68.5</v>
      </c>
      <c r="E3055" s="7">
        <f t="shared" si="47"/>
        <v>142.4</v>
      </c>
      <c r="F3055" s="8"/>
    </row>
    <row r="3056" spans="1:6" ht="18" customHeight="1">
      <c r="A3056" s="4" t="s">
        <v>102</v>
      </c>
      <c r="B3056" s="4" t="str">
        <f>"2020032706"</f>
        <v>2020032706</v>
      </c>
      <c r="C3056" s="5">
        <v>67.3</v>
      </c>
      <c r="D3056" s="6">
        <v>74.5</v>
      </c>
      <c r="E3056" s="7">
        <f t="shared" si="47"/>
        <v>141.80000000000001</v>
      </c>
      <c r="F3056" s="8"/>
    </row>
    <row r="3057" spans="1:6" ht="18" customHeight="1">
      <c r="A3057" s="4" t="s">
        <v>102</v>
      </c>
      <c r="B3057" s="4" t="str">
        <f>"2020045418"</f>
        <v>2020045418</v>
      </c>
      <c r="C3057" s="5">
        <v>73.099999999999994</v>
      </c>
      <c r="D3057" s="6">
        <v>65</v>
      </c>
      <c r="E3057" s="7">
        <f t="shared" si="47"/>
        <v>138.1</v>
      </c>
      <c r="F3057" s="8"/>
    </row>
    <row r="3058" spans="1:6" ht="18" customHeight="1">
      <c r="A3058" s="4" t="s">
        <v>102</v>
      </c>
      <c r="B3058" s="4" t="str">
        <f>"2020044028"</f>
        <v>2020044028</v>
      </c>
      <c r="C3058" s="5">
        <v>66.2</v>
      </c>
      <c r="D3058" s="6">
        <v>70</v>
      </c>
      <c r="E3058" s="7">
        <f t="shared" si="47"/>
        <v>136.19999999999999</v>
      </c>
      <c r="F3058" s="8"/>
    </row>
    <row r="3059" spans="1:6" ht="18" customHeight="1">
      <c r="A3059" s="4" t="s">
        <v>102</v>
      </c>
      <c r="B3059" s="4" t="str">
        <f>"2020023707"</f>
        <v>2020023707</v>
      </c>
      <c r="C3059" s="5">
        <v>65.900000000000006</v>
      </c>
      <c r="D3059" s="6">
        <v>68.5</v>
      </c>
      <c r="E3059" s="7">
        <f t="shared" si="47"/>
        <v>134.4</v>
      </c>
      <c r="F3059" s="8"/>
    </row>
    <row r="3060" spans="1:6" ht="18" customHeight="1">
      <c r="A3060" s="4" t="s">
        <v>102</v>
      </c>
      <c r="B3060" s="4" t="str">
        <f>"2020034014"</f>
        <v>2020034014</v>
      </c>
      <c r="C3060" s="5">
        <v>61.7</v>
      </c>
      <c r="D3060" s="6">
        <v>65</v>
      </c>
      <c r="E3060" s="7">
        <f t="shared" si="47"/>
        <v>126.7</v>
      </c>
      <c r="F3060" s="8"/>
    </row>
    <row r="3061" spans="1:6" ht="18" customHeight="1">
      <c r="A3061" s="4" t="s">
        <v>102</v>
      </c>
      <c r="B3061" s="4" t="str">
        <f>"2020020723"</f>
        <v>2020020723</v>
      </c>
      <c r="C3061" s="5">
        <v>63.7</v>
      </c>
      <c r="D3061" s="6">
        <v>59.5</v>
      </c>
      <c r="E3061" s="7">
        <f t="shared" si="47"/>
        <v>123.2</v>
      </c>
      <c r="F3061" s="8"/>
    </row>
    <row r="3062" spans="1:6" ht="18" customHeight="1">
      <c r="A3062" s="4" t="s">
        <v>102</v>
      </c>
      <c r="B3062" s="4" t="str">
        <f>"2020042204"</f>
        <v>2020042204</v>
      </c>
      <c r="C3062" s="5">
        <v>62.6</v>
      </c>
      <c r="D3062" s="6">
        <v>60</v>
      </c>
      <c r="E3062" s="7">
        <f t="shared" si="47"/>
        <v>122.6</v>
      </c>
      <c r="F3062" s="8"/>
    </row>
    <row r="3063" spans="1:6" ht="18" customHeight="1">
      <c r="A3063" s="4" t="s">
        <v>102</v>
      </c>
      <c r="B3063" s="4" t="str">
        <f>"2020032716"</f>
        <v>2020032716</v>
      </c>
      <c r="C3063" s="5">
        <v>63.3</v>
      </c>
      <c r="D3063" s="6">
        <v>53.5</v>
      </c>
      <c r="E3063" s="7">
        <f t="shared" si="47"/>
        <v>116.8</v>
      </c>
      <c r="F3063" s="8"/>
    </row>
    <row r="3064" spans="1:6" ht="18" customHeight="1">
      <c r="A3064" s="4" t="s">
        <v>102</v>
      </c>
      <c r="B3064" s="4" t="str">
        <f>"2020011419"</f>
        <v>2020011419</v>
      </c>
      <c r="C3064" s="5">
        <v>0</v>
      </c>
      <c r="D3064" s="6">
        <v>0</v>
      </c>
      <c r="E3064" s="7">
        <f t="shared" si="47"/>
        <v>0</v>
      </c>
      <c r="F3064" s="9" t="s">
        <v>8</v>
      </c>
    </row>
    <row r="3065" spans="1:6" ht="18" customHeight="1">
      <c r="A3065" s="4" t="s">
        <v>102</v>
      </c>
      <c r="B3065" s="4" t="str">
        <f>"2020012001"</f>
        <v>2020012001</v>
      </c>
      <c r="C3065" s="5">
        <v>0</v>
      </c>
      <c r="D3065" s="6">
        <v>0</v>
      </c>
      <c r="E3065" s="7">
        <f t="shared" si="47"/>
        <v>0</v>
      </c>
      <c r="F3065" s="9" t="s">
        <v>8</v>
      </c>
    </row>
    <row r="3066" spans="1:6" ht="18" customHeight="1">
      <c r="A3066" s="4" t="s">
        <v>102</v>
      </c>
      <c r="B3066" s="4" t="str">
        <f>"2020021618"</f>
        <v>2020021618</v>
      </c>
      <c r="C3066" s="5">
        <v>0</v>
      </c>
      <c r="D3066" s="6">
        <v>0</v>
      </c>
      <c r="E3066" s="7">
        <f t="shared" si="47"/>
        <v>0</v>
      </c>
      <c r="F3066" s="8" t="s">
        <v>8</v>
      </c>
    </row>
    <row r="3067" spans="1:6" ht="18" customHeight="1">
      <c r="A3067" s="4" t="s">
        <v>102</v>
      </c>
      <c r="B3067" s="4" t="str">
        <f>"2020024020"</f>
        <v>2020024020</v>
      </c>
      <c r="C3067" s="5">
        <v>0</v>
      </c>
      <c r="D3067" s="6">
        <v>0</v>
      </c>
      <c r="E3067" s="7">
        <f t="shared" si="47"/>
        <v>0</v>
      </c>
      <c r="F3067" s="8" t="s">
        <v>8</v>
      </c>
    </row>
    <row r="3068" spans="1:6" ht="18" customHeight="1">
      <c r="A3068" s="4" t="s">
        <v>102</v>
      </c>
      <c r="B3068" s="4" t="str">
        <f>"2020030824"</f>
        <v>2020030824</v>
      </c>
      <c r="C3068" s="5">
        <v>0</v>
      </c>
      <c r="D3068" s="6">
        <v>0</v>
      </c>
      <c r="E3068" s="7">
        <f t="shared" si="47"/>
        <v>0</v>
      </c>
      <c r="F3068" s="8" t="s">
        <v>8</v>
      </c>
    </row>
    <row r="3069" spans="1:6" ht="18" customHeight="1">
      <c r="A3069" s="4" t="s">
        <v>102</v>
      </c>
      <c r="B3069" s="4" t="str">
        <f>"2020032126"</f>
        <v>2020032126</v>
      </c>
      <c r="C3069" s="5">
        <v>0</v>
      </c>
      <c r="D3069" s="6">
        <v>0</v>
      </c>
      <c r="E3069" s="7">
        <f t="shared" si="47"/>
        <v>0</v>
      </c>
      <c r="F3069" s="8" t="s">
        <v>8</v>
      </c>
    </row>
    <row r="3070" spans="1:6" ht="18" customHeight="1">
      <c r="A3070" s="4" t="s">
        <v>102</v>
      </c>
      <c r="B3070" s="4" t="str">
        <f>"2020044213"</f>
        <v>2020044213</v>
      </c>
      <c r="C3070" s="5">
        <v>0</v>
      </c>
      <c r="D3070" s="6">
        <v>0</v>
      </c>
      <c r="E3070" s="7">
        <f t="shared" si="47"/>
        <v>0</v>
      </c>
      <c r="F3070" s="8" t="s">
        <v>8</v>
      </c>
    </row>
    <row r="3071" spans="1:6" ht="18" customHeight="1">
      <c r="A3071" s="4" t="s">
        <v>102</v>
      </c>
      <c r="B3071" s="4" t="str">
        <f>"2020047620"</f>
        <v>2020047620</v>
      </c>
      <c r="C3071" s="5">
        <v>0</v>
      </c>
      <c r="D3071" s="6">
        <v>0</v>
      </c>
      <c r="E3071" s="7">
        <f t="shared" si="47"/>
        <v>0</v>
      </c>
      <c r="F3071" s="8" t="s">
        <v>8</v>
      </c>
    </row>
    <row r="3072" spans="1:6" ht="18" customHeight="1">
      <c r="A3072" s="4" t="s">
        <v>103</v>
      </c>
      <c r="B3072" s="4" t="str">
        <f>"2020011306"</f>
        <v>2020011306</v>
      </c>
      <c r="C3072" s="5">
        <v>69.7</v>
      </c>
      <c r="D3072" s="6">
        <v>85</v>
      </c>
      <c r="E3072" s="7">
        <f t="shared" si="47"/>
        <v>154.69999999999999</v>
      </c>
      <c r="F3072" s="8"/>
    </row>
    <row r="3073" spans="1:6" ht="18" customHeight="1">
      <c r="A3073" s="4" t="s">
        <v>103</v>
      </c>
      <c r="B3073" s="4" t="str">
        <f>"2020045628"</f>
        <v>2020045628</v>
      </c>
      <c r="C3073" s="5">
        <v>69</v>
      </c>
      <c r="D3073" s="6">
        <v>80.5</v>
      </c>
      <c r="E3073" s="7">
        <f t="shared" si="47"/>
        <v>149.5</v>
      </c>
      <c r="F3073" s="8"/>
    </row>
    <row r="3074" spans="1:6" ht="18" customHeight="1">
      <c r="A3074" s="4" t="s">
        <v>103</v>
      </c>
      <c r="B3074" s="4" t="str">
        <f>"2020013001"</f>
        <v>2020013001</v>
      </c>
      <c r="C3074" s="5">
        <v>72</v>
      </c>
      <c r="D3074" s="6">
        <v>77</v>
      </c>
      <c r="E3074" s="7">
        <f t="shared" si="47"/>
        <v>149</v>
      </c>
      <c r="F3074" s="8"/>
    </row>
    <row r="3075" spans="1:6" ht="18" customHeight="1">
      <c r="A3075" s="4" t="s">
        <v>103</v>
      </c>
      <c r="B3075" s="4" t="str">
        <f>"2020044101"</f>
        <v>2020044101</v>
      </c>
      <c r="C3075" s="5">
        <v>71.7</v>
      </c>
      <c r="D3075" s="6">
        <v>77</v>
      </c>
      <c r="E3075" s="7">
        <f t="shared" ref="E3075:E3138" si="48">SUM(C3075:D3075)</f>
        <v>148.69999999999999</v>
      </c>
      <c r="F3075" s="8"/>
    </row>
    <row r="3076" spans="1:6" ht="18" customHeight="1">
      <c r="A3076" s="4" t="s">
        <v>103</v>
      </c>
      <c r="B3076" s="4" t="str">
        <f>"2020046619"</f>
        <v>2020046619</v>
      </c>
      <c r="C3076" s="5">
        <v>67.400000000000006</v>
      </c>
      <c r="D3076" s="6">
        <v>81</v>
      </c>
      <c r="E3076" s="7">
        <f t="shared" si="48"/>
        <v>148.4</v>
      </c>
      <c r="F3076" s="8"/>
    </row>
    <row r="3077" spans="1:6" ht="18" customHeight="1">
      <c r="A3077" s="4" t="s">
        <v>103</v>
      </c>
      <c r="B3077" s="4" t="str">
        <f>"2020045801"</f>
        <v>2020045801</v>
      </c>
      <c r="C3077" s="5">
        <v>71.900000000000006</v>
      </c>
      <c r="D3077" s="6">
        <v>74</v>
      </c>
      <c r="E3077" s="7">
        <f t="shared" si="48"/>
        <v>145.9</v>
      </c>
      <c r="F3077" s="8"/>
    </row>
    <row r="3078" spans="1:6" ht="18" customHeight="1">
      <c r="A3078" s="4" t="s">
        <v>103</v>
      </c>
      <c r="B3078" s="4" t="str">
        <f>"2020024522"</f>
        <v>2020024522</v>
      </c>
      <c r="C3078" s="5">
        <v>70.900000000000006</v>
      </c>
      <c r="D3078" s="6">
        <v>75</v>
      </c>
      <c r="E3078" s="7">
        <f t="shared" si="48"/>
        <v>145.9</v>
      </c>
      <c r="F3078" s="8"/>
    </row>
    <row r="3079" spans="1:6" ht="18" customHeight="1">
      <c r="A3079" s="4" t="s">
        <v>103</v>
      </c>
      <c r="B3079" s="4" t="str">
        <f>"2020020109"</f>
        <v>2020020109</v>
      </c>
      <c r="C3079" s="5">
        <v>68.400000000000006</v>
      </c>
      <c r="D3079" s="6">
        <v>77</v>
      </c>
      <c r="E3079" s="7">
        <f t="shared" si="48"/>
        <v>145.4</v>
      </c>
      <c r="F3079" s="8"/>
    </row>
    <row r="3080" spans="1:6" ht="18" customHeight="1">
      <c r="A3080" s="4" t="s">
        <v>103</v>
      </c>
      <c r="B3080" s="4" t="str">
        <f>"2020045928"</f>
        <v>2020045928</v>
      </c>
      <c r="C3080" s="5">
        <v>76.900000000000006</v>
      </c>
      <c r="D3080" s="6">
        <v>68</v>
      </c>
      <c r="E3080" s="7">
        <f t="shared" si="48"/>
        <v>144.9</v>
      </c>
      <c r="F3080" s="8"/>
    </row>
    <row r="3081" spans="1:6" ht="18" customHeight="1">
      <c r="A3081" s="4" t="s">
        <v>103</v>
      </c>
      <c r="B3081" s="4" t="str">
        <f>"2020022311"</f>
        <v>2020022311</v>
      </c>
      <c r="C3081" s="5">
        <v>75.099999999999994</v>
      </c>
      <c r="D3081" s="6">
        <v>69.5</v>
      </c>
      <c r="E3081" s="7">
        <f t="shared" si="48"/>
        <v>144.6</v>
      </c>
      <c r="F3081" s="8"/>
    </row>
    <row r="3082" spans="1:6" ht="18" customHeight="1">
      <c r="A3082" s="4" t="s">
        <v>103</v>
      </c>
      <c r="B3082" s="4" t="str">
        <f>"2020041128"</f>
        <v>2020041128</v>
      </c>
      <c r="C3082" s="5">
        <v>75.2</v>
      </c>
      <c r="D3082" s="6">
        <v>68</v>
      </c>
      <c r="E3082" s="7">
        <f t="shared" si="48"/>
        <v>143.19999999999999</v>
      </c>
      <c r="F3082" s="8"/>
    </row>
    <row r="3083" spans="1:6" ht="18" customHeight="1">
      <c r="A3083" s="4" t="s">
        <v>103</v>
      </c>
      <c r="B3083" s="4" t="str">
        <f>"2020033122"</f>
        <v>2020033122</v>
      </c>
      <c r="C3083" s="5">
        <v>68.8</v>
      </c>
      <c r="D3083" s="6">
        <v>73.5</v>
      </c>
      <c r="E3083" s="7">
        <f t="shared" si="48"/>
        <v>142.30000000000001</v>
      </c>
      <c r="F3083" s="8"/>
    </row>
    <row r="3084" spans="1:6" ht="18" customHeight="1">
      <c r="A3084" s="4" t="s">
        <v>103</v>
      </c>
      <c r="B3084" s="4" t="str">
        <f>"2020022323"</f>
        <v>2020022323</v>
      </c>
      <c r="C3084" s="5">
        <v>73.7</v>
      </c>
      <c r="D3084" s="6">
        <v>68.5</v>
      </c>
      <c r="E3084" s="7">
        <f t="shared" si="48"/>
        <v>142.19999999999999</v>
      </c>
      <c r="F3084" s="8"/>
    </row>
    <row r="3085" spans="1:6" ht="18" customHeight="1">
      <c r="A3085" s="4" t="s">
        <v>103</v>
      </c>
      <c r="B3085" s="4" t="str">
        <f>"2020045111"</f>
        <v>2020045111</v>
      </c>
      <c r="C3085" s="5">
        <v>70.599999999999994</v>
      </c>
      <c r="D3085" s="6">
        <v>71.5</v>
      </c>
      <c r="E3085" s="7">
        <f t="shared" si="48"/>
        <v>142.1</v>
      </c>
      <c r="F3085" s="8"/>
    </row>
    <row r="3086" spans="1:6" ht="18" customHeight="1">
      <c r="A3086" s="4" t="s">
        <v>103</v>
      </c>
      <c r="B3086" s="4" t="str">
        <f>"2020033530"</f>
        <v>2020033530</v>
      </c>
      <c r="C3086" s="5">
        <v>72.2</v>
      </c>
      <c r="D3086" s="6">
        <v>69.5</v>
      </c>
      <c r="E3086" s="7">
        <f t="shared" si="48"/>
        <v>141.69999999999999</v>
      </c>
      <c r="F3086" s="8"/>
    </row>
    <row r="3087" spans="1:6" ht="18" customHeight="1">
      <c r="A3087" s="4" t="s">
        <v>103</v>
      </c>
      <c r="B3087" s="4" t="str">
        <f>"2020033715"</f>
        <v>2020033715</v>
      </c>
      <c r="C3087" s="5">
        <v>68.599999999999994</v>
      </c>
      <c r="D3087" s="6">
        <v>72</v>
      </c>
      <c r="E3087" s="7">
        <f t="shared" si="48"/>
        <v>140.6</v>
      </c>
      <c r="F3087" s="8"/>
    </row>
    <row r="3088" spans="1:6" ht="18" customHeight="1">
      <c r="A3088" s="4" t="s">
        <v>103</v>
      </c>
      <c r="B3088" s="4" t="str">
        <f>"2020012526"</f>
        <v>2020012526</v>
      </c>
      <c r="C3088" s="5">
        <v>69.3</v>
      </c>
      <c r="D3088" s="6">
        <v>70</v>
      </c>
      <c r="E3088" s="7">
        <f t="shared" si="48"/>
        <v>139.30000000000001</v>
      </c>
      <c r="F3088" s="8"/>
    </row>
    <row r="3089" spans="1:6" ht="18" customHeight="1">
      <c r="A3089" s="4" t="s">
        <v>103</v>
      </c>
      <c r="B3089" s="4" t="str">
        <f>"2020010726"</f>
        <v>2020010726</v>
      </c>
      <c r="C3089" s="5">
        <v>72.5</v>
      </c>
      <c r="D3089" s="6">
        <v>65</v>
      </c>
      <c r="E3089" s="7">
        <f t="shared" si="48"/>
        <v>137.5</v>
      </c>
      <c r="F3089" s="8"/>
    </row>
    <row r="3090" spans="1:6" ht="18" customHeight="1">
      <c r="A3090" s="4" t="s">
        <v>103</v>
      </c>
      <c r="B3090" s="4" t="str">
        <f>"2020046205"</f>
        <v>2020046205</v>
      </c>
      <c r="C3090" s="5">
        <v>65.099999999999994</v>
      </c>
      <c r="D3090" s="6">
        <v>72</v>
      </c>
      <c r="E3090" s="7">
        <f t="shared" si="48"/>
        <v>137.1</v>
      </c>
      <c r="F3090" s="8"/>
    </row>
    <row r="3091" spans="1:6" ht="18" customHeight="1">
      <c r="A3091" s="4" t="s">
        <v>103</v>
      </c>
      <c r="B3091" s="4" t="str">
        <f>"2020042529"</f>
        <v>2020042529</v>
      </c>
      <c r="C3091" s="5">
        <v>66.5</v>
      </c>
      <c r="D3091" s="6">
        <v>70.5</v>
      </c>
      <c r="E3091" s="7">
        <f t="shared" si="48"/>
        <v>137</v>
      </c>
      <c r="F3091" s="8"/>
    </row>
    <row r="3092" spans="1:6" ht="18" customHeight="1">
      <c r="A3092" s="4" t="s">
        <v>103</v>
      </c>
      <c r="B3092" s="4" t="str">
        <f>"2020023910"</f>
        <v>2020023910</v>
      </c>
      <c r="C3092" s="5">
        <v>63.9</v>
      </c>
      <c r="D3092" s="6">
        <v>71</v>
      </c>
      <c r="E3092" s="7">
        <f t="shared" si="48"/>
        <v>134.9</v>
      </c>
      <c r="F3092" s="8"/>
    </row>
    <row r="3093" spans="1:6" ht="18" customHeight="1">
      <c r="A3093" s="4" t="s">
        <v>103</v>
      </c>
      <c r="B3093" s="4" t="str">
        <f>"2020045930"</f>
        <v>2020045930</v>
      </c>
      <c r="C3093" s="5">
        <v>61</v>
      </c>
      <c r="D3093" s="6">
        <v>71.5</v>
      </c>
      <c r="E3093" s="7">
        <f t="shared" si="48"/>
        <v>132.5</v>
      </c>
      <c r="F3093" s="8"/>
    </row>
    <row r="3094" spans="1:6" ht="18" customHeight="1">
      <c r="A3094" s="4" t="s">
        <v>103</v>
      </c>
      <c r="B3094" s="4" t="str">
        <f>"2020021315"</f>
        <v>2020021315</v>
      </c>
      <c r="C3094" s="5">
        <v>70</v>
      </c>
      <c r="D3094" s="6">
        <v>62</v>
      </c>
      <c r="E3094" s="7">
        <f t="shared" si="48"/>
        <v>132</v>
      </c>
      <c r="F3094" s="8"/>
    </row>
    <row r="3095" spans="1:6" ht="18" customHeight="1">
      <c r="A3095" s="4" t="s">
        <v>103</v>
      </c>
      <c r="B3095" s="4" t="str">
        <f>"2020042108"</f>
        <v>2020042108</v>
      </c>
      <c r="C3095" s="5">
        <v>65.7</v>
      </c>
      <c r="D3095" s="6">
        <v>66</v>
      </c>
      <c r="E3095" s="7">
        <f t="shared" si="48"/>
        <v>131.69999999999999</v>
      </c>
      <c r="F3095" s="8"/>
    </row>
    <row r="3096" spans="1:6" ht="18" customHeight="1">
      <c r="A3096" s="4" t="s">
        <v>103</v>
      </c>
      <c r="B3096" s="4" t="str">
        <f>"2020040120"</f>
        <v>2020040120</v>
      </c>
      <c r="C3096" s="5">
        <v>67.900000000000006</v>
      </c>
      <c r="D3096" s="6">
        <v>62.5</v>
      </c>
      <c r="E3096" s="7">
        <f t="shared" si="48"/>
        <v>130.4</v>
      </c>
      <c r="F3096" s="8"/>
    </row>
    <row r="3097" spans="1:6" ht="18" customHeight="1">
      <c r="A3097" s="4" t="s">
        <v>103</v>
      </c>
      <c r="B3097" s="4" t="str">
        <f>"2020032528"</f>
        <v>2020032528</v>
      </c>
      <c r="C3097" s="5">
        <v>58.3</v>
      </c>
      <c r="D3097" s="6">
        <v>63</v>
      </c>
      <c r="E3097" s="7">
        <f t="shared" si="48"/>
        <v>121.3</v>
      </c>
      <c r="F3097" s="8"/>
    </row>
    <row r="3098" spans="1:6" ht="18" customHeight="1">
      <c r="A3098" s="4" t="s">
        <v>103</v>
      </c>
      <c r="B3098" s="4" t="str">
        <f>"2020047124"</f>
        <v>2020047124</v>
      </c>
      <c r="C3098" s="5">
        <v>63.7</v>
      </c>
      <c r="D3098" s="6">
        <v>52</v>
      </c>
      <c r="E3098" s="7">
        <f t="shared" si="48"/>
        <v>115.7</v>
      </c>
      <c r="F3098" s="8"/>
    </row>
    <row r="3099" spans="1:6" ht="18" customHeight="1">
      <c r="A3099" s="4" t="s">
        <v>103</v>
      </c>
      <c r="B3099" s="4" t="str">
        <f>"2020031025"</f>
        <v>2020031025</v>
      </c>
      <c r="C3099" s="5">
        <v>60.4</v>
      </c>
      <c r="D3099" s="6">
        <v>48.5</v>
      </c>
      <c r="E3099" s="7">
        <f t="shared" si="48"/>
        <v>108.9</v>
      </c>
      <c r="F3099" s="8"/>
    </row>
    <row r="3100" spans="1:6" ht="18" customHeight="1">
      <c r="A3100" s="4" t="s">
        <v>103</v>
      </c>
      <c r="B3100" s="4" t="str">
        <f>"2020024602"</f>
        <v>2020024602</v>
      </c>
      <c r="C3100" s="5">
        <v>54.9</v>
      </c>
      <c r="D3100" s="6">
        <v>53.5</v>
      </c>
      <c r="E3100" s="7">
        <f t="shared" si="48"/>
        <v>108.4</v>
      </c>
      <c r="F3100" s="8"/>
    </row>
    <row r="3101" spans="1:6" ht="18" customHeight="1">
      <c r="A3101" s="4" t="s">
        <v>103</v>
      </c>
      <c r="B3101" s="4" t="str">
        <f>"2020011730"</f>
        <v>2020011730</v>
      </c>
      <c r="C3101" s="5">
        <v>0</v>
      </c>
      <c r="D3101" s="6">
        <v>0</v>
      </c>
      <c r="E3101" s="7">
        <f t="shared" si="48"/>
        <v>0</v>
      </c>
      <c r="F3101" s="9" t="s">
        <v>8</v>
      </c>
    </row>
    <row r="3102" spans="1:6" ht="18" customHeight="1">
      <c r="A3102" s="4" t="s">
        <v>103</v>
      </c>
      <c r="B3102" s="4" t="str">
        <f>"2020013008"</f>
        <v>2020013008</v>
      </c>
      <c r="C3102" s="5">
        <v>0</v>
      </c>
      <c r="D3102" s="6">
        <v>0</v>
      </c>
      <c r="E3102" s="7">
        <f t="shared" si="48"/>
        <v>0</v>
      </c>
      <c r="F3102" s="9" t="s">
        <v>8</v>
      </c>
    </row>
    <row r="3103" spans="1:6" ht="18" customHeight="1">
      <c r="A3103" s="4" t="s">
        <v>103</v>
      </c>
      <c r="B3103" s="4" t="str">
        <f>"2020021620"</f>
        <v>2020021620</v>
      </c>
      <c r="C3103" s="5">
        <v>0</v>
      </c>
      <c r="D3103" s="6">
        <v>0</v>
      </c>
      <c r="E3103" s="7">
        <f t="shared" si="48"/>
        <v>0</v>
      </c>
      <c r="F3103" s="8" t="s">
        <v>8</v>
      </c>
    </row>
    <row r="3104" spans="1:6" ht="18" customHeight="1">
      <c r="A3104" s="4" t="s">
        <v>103</v>
      </c>
      <c r="B3104" s="4" t="str">
        <f>"2020022505"</f>
        <v>2020022505</v>
      </c>
      <c r="C3104" s="5">
        <v>0</v>
      </c>
      <c r="D3104" s="6">
        <v>0</v>
      </c>
      <c r="E3104" s="7">
        <f t="shared" si="48"/>
        <v>0</v>
      </c>
      <c r="F3104" s="8" t="s">
        <v>8</v>
      </c>
    </row>
    <row r="3105" spans="1:6" ht="18" customHeight="1">
      <c r="A3105" s="4" t="s">
        <v>103</v>
      </c>
      <c r="B3105" s="4" t="str">
        <f>"2020030327"</f>
        <v>2020030327</v>
      </c>
      <c r="C3105" s="5">
        <v>0</v>
      </c>
      <c r="D3105" s="6">
        <v>0</v>
      </c>
      <c r="E3105" s="7">
        <f t="shared" si="48"/>
        <v>0</v>
      </c>
      <c r="F3105" s="8" t="s">
        <v>8</v>
      </c>
    </row>
    <row r="3106" spans="1:6" ht="18" customHeight="1">
      <c r="A3106" s="4" t="s">
        <v>103</v>
      </c>
      <c r="B3106" s="4" t="str">
        <f>"2020033630"</f>
        <v>2020033630</v>
      </c>
      <c r="C3106" s="5">
        <v>0</v>
      </c>
      <c r="D3106" s="6">
        <v>0</v>
      </c>
      <c r="E3106" s="7">
        <f t="shared" si="48"/>
        <v>0</v>
      </c>
      <c r="F3106" s="8" t="s">
        <v>8</v>
      </c>
    </row>
    <row r="3107" spans="1:6" ht="18" customHeight="1">
      <c r="A3107" s="4" t="s">
        <v>103</v>
      </c>
      <c r="B3107" s="4" t="str">
        <f>"2020041015"</f>
        <v>2020041015</v>
      </c>
      <c r="C3107" s="5">
        <v>0</v>
      </c>
      <c r="D3107" s="6">
        <v>0</v>
      </c>
      <c r="E3107" s="7">
        <f t="shared" si="48"/>
        <v>0</v>
      </c>
      <c r="F3107" s="8" t="s">
        <v>8</v>
      </c>
    </row>
    <row r="3108" spans="1:6" ht="18" customHeight="1">
      <c r="A3108" s="4" t="s">
        <v>103</v>
      </c>
      <c r="B3108" s="4" t="str">
        <f>"2020041424"</f>
        <v>2020041424</v>
      </c>
      <c r="C3108" s="5">
        <v>0</v>
      </c>
      <c r="D3108" s="6">
        <v>0</v>
      </c>
      <c r="E3108" s="7">
        <f t="shared" si="48"/>
        <v>0</v>
      </c>
      <c r="F3108" s="8" t="s">
        <v>8</v>
      </c>
    </row>
    <row r="3109" spans="1:6" ht="18" customHeight="1">
      <c r="A3109" s="4" t="s">
        <v>103</v>
      </c>
      <c r="B3109" s="4" t="str">
        <f>"2020043412"</f>
        <v>2020043412</v>
      </c>
      <c r="C3109" s="5">
        <v>0</v>
      </c>
      <c r="D3109" s="6">
        <v>0</v>
      </c>
      <c r="E3109" s="7">
        <f t="shared" si="48"/>
        <v>0</v>
      </c>
      <c r="F3109" s="8" t="s">
        <v>8</v>
      </c>
    </row>
    <row r="3110" spans="1:6" ht="18" customHeight="1">
      <c r="A3110" s="4" t="s">
        <v>103</v>
      </c>
      <c r="B3110" s="4" t="str">
        <f>"2020044818"</f>
        <v>2020044818</v>
      </c>
      <c r="C3110" s="5">
        <v>0</v>
      </c>
      <c r="D3110" s="6">
        <v>0</v>
      </c>
      <c r="E3110" s="7">
        <f t="shared" si="48"/>
        <v>0</v>
      </c>
      <c r="F3110" s="8" t="s">
        <v>8</v>
      </c>
    </row>
    <row r="3111" spans="1:6" ht="18" customHeight="1">
      <c r="A3111" s="4" t="s">
        <v>103</v>
      </c>
      <c r="B3111" s="4" t="str">
        <f>"2020045622"</f>
        <v>2020045622</v>
      </c>
      <c r="C3111" s="5">
        <v>0</v>
      </c>
      <c r="D3111" s="6">
        <v>0</v>
      </c>
      <c r="E3111" s="7">
        <f t="shared" si="48"/>
        <v>0</v>
      </c>
      <c r="F3111" s="8" t="s">
        <v>8</v>
      </c>
    </row>
    <row r="3112" spans="1:6" ht="18" customHeight="1">
      <c r="A3112" s="4" t="s">
        <v>104</v>
      </c>
      <c r="B3112" s="4" t="str">
        <f>"2020046404"</f>
        <v>2020046404</v>
      </c>
      <c r="C3112" s="5">
        <v>72.2</v>
      </c>
      <c r="D3112" s="6">
        <v>84</v>
      </c>
      <c r="E3112" s="7">
        <f t="shared" si="48"/>
        <v>156.19999999999999</v>
      </c>
      <c r="F3112" s="8"/>
    </row>
    <row r="3113" spans="1:6" ht="18" customHeight="1">
      <c r="A3113" s="4" t="s">
        <v>104</v>
      </c>
      <c r="B3113" s="4" t="str">
        <f>"2020040315"</f>
        <v>2020040315</v>
      </c>
      <c r="C3113" s="5">
        <v>74.5</v>
      </c>
      <c r="D3113" s="6">
        <v>79</v>
      </c>
      <c r="E3113" s="7">
        <f t="shared" si="48"/>
        <v>153.5</v>
      </c>
      <c r="F3113" s="8"/>
    </row>
    <row r="3114" spans="1:6" ht="18" customHeight="1">
      <c r="A3114" s="4" t="s">
        <v>104</v>
      </c>
      <c r="B3114" s="4" t="str">
        <f>"2020041822"</f>
        <v>2020041822</v>
      </c>
      <c r="C3114" s="5">
        <v>77.8</v>
      </c>
      <c r="D3114" s="6">
        <v>72.5</v>
      </c>
      <c r="E3114" s="7">
        <f t="shared" si="48"/>
        <v>150.30000000000001</v>
      </c>
      <c r="F3114" s="8"/>
    </row>
    <row r="3115" spans="1:6" ht="18" customHeight="1">
      <c r="A3115" s="4" t="s">
        <v>104</v>
      </c>
      <c r="B3115" s="4" t="str">
        <f>"2020011626"</f>
        <v>2020011626</v>
      </c>
      <c r="C3115" s="5">
        <v>75.7</v>
      </c>
      <c r="D3115" s="6">
        <v>73.5</v>
      </c>
      <c r="E3115" s="7">
        <f t="shared" si="48"/>
        <v>149.19999999999999</v>
      </c>
      <c r="F3115" s="8"/>
    </row>
    <row r="3116" spans="1:6" ht="18" customHeight="1">
      <c r="A3116" s="4" t="s">
        <v>104</v>
      </c>
      <c r="B3116" s="4" t="str">
        <f>"2020041817"</f>
        <v>2020041817</v>
      </c>
      <c r="C3116" s="5">
        <v>69.400000000000006</v>
      </c>
      <c r="D3116" s="6">
        <v>74.5</v>
      </c>
      <c r="E3116" s="7">
        <f t="shared" si="48"/>
        <v>143.9</v>
      </c>
      <c r="F3116" s="8"/>
    </row>
    <row r="3117" spans="1:6" ht="18" customHeight="1">
      <c r="A3117" s="4" t="s">
        <v>104</v>
      </c>
      <c r="B3117" s="4" t="str">
        <f>"2020041416"</f>
        <v>2020041416</v>
      </c>
      <c r="C3117" s="5">
        <v>69</v>
      </c>
      <c r="D3117" s="6">
        <v>73.5</v>
      </c>
      <c r="E3117" s="7">
        <f t="shared" si="48"/>
        <v>142.5</v>
      </c>
      <c r="F3117" s="8"/>
    </row>
    <row r="3118" spans="1:6" ht="18" customHeight="1">
      <c r="A3118" s="4" t="s">
        <v>104</v>
      </c>
      <c r="B3118" s="4" t="str">
        <f>"2020011720"</f>
        <v>2020011720</v>
      </c>
      <c r="C3118" s="5">
        <v>58.8</v>
      </c>
      <c r="D3118" s="6">
        <v>82</v>
      </c>
      <c r="E3118" s="7">
        <f t="shared" si="48"/>
        <v>140.80000000000001</v>
      </c>
      <c r="F3118" s="8"/>
    </row>
    <row r="3119" spans="1:6" ht="18" customHeight="1">
      <c r="A3119" s="4" t="s">
        <v>104</v>
      </c>
      <c r="B3119" s="4" t="str">
        <f>"2020020319"</f>
        <v>2020020319</v>
      </c>
      <c r="C3119" s="5">
        <v>65.400000000000006</v>
      </c>
      <c r="D3119" s="6">
        <v>75</v>
      </c>
      <c r="E3119" s="7">
        <f t="shared" si="48"/>
        <v>140.4</v>
      </c>
      <c r="F3119" s="8"/>
    </row>
    <row r="3120" spans="1:6" ht="18" customHeight="1">
      <c r="A3120" s="4" t="s">
        <v>104</v>
      </c>
      <c r="B3120" s="4" t="str">
        <f>"2020022008"</f>
        <v>2020022008</v>
      </c>
      <c r="C3120" s="5">
        <v>75.3</v>
      </c>
      <c r="D3120" s="6">
        <v>63</v>
      </c>
      <c r="E3120" s="7">
        <f t="shared" si="48"/>
        <v>138.30000000000001</v>
      </c>
      <c r="F3120" s="8"/>
    </row>
    <row r="3121" spans="1:6" ht="18" customHeight="1">
      <c r="A3121" s="4" t="s">
        <v>104</v>
      </c>
      <c r="B3121" s="4" t="str">
        <f>"2020047014"</f>
        <v>2020047014</v>
      </c>
      <c r="C3121" s="5">
        <v>63</v>
      </c>
      <c r="D3121" s="6">
        <v>71.5</v>
      </c>
      <c r="E3121" s="7">
        <f t="shared" si="48"/>
        <v>134.5</v>
      </c>
      <c r="F3121" s="8"/>
    </row>
    <row r="3122" spans="1:6" ht="18" customHeight="1">
      <c r="A3122" s="4" t="s">
        <v>104</v>
      </c>
      <c r="B3122" s="4" t="str">
        <f>"2020045415"</f>
        <v>2020045415</v>
      </c>
      <c r="C3122" s="5">
        <v>67.7</v>
      </c>
      <c r="D3122" s="6">
        <v>64.5</v>
      </c>
      <c r="E3122" s="7">
        <f t="shared" si="48"/>
        <v>132.19999999999999</v>
      </c>
      <c r="F3122" s="8"/>
    </row>
    <row r="3123" spans="1:6" ht="18" customHeight="1">
      <c r="A3123" s="4" t="s">
        <v>104</v>
      </c>
      <c r="B3123" s="4" t="str">
        <f>"2020044104"</f>
        <v>2020044104</v>
      </c>
      <c r="C3123" s="5">
        <v>60.9</v>
      </c>
      <c r="D3123" s="6">
        <v>69</v>
      </c>
      <c r="E3123" s="7">
        <f t="shared" si="48"/>
        <v>129.9</v>
      </c>
      <c r="F3123" s="8"/>
    </row>
    <row r="3124" spans="1:6" ht="18" customHeight="1">
      <c r="A3124" s="4" t="s">
        <v>104</v>
      </c>
      <c r="B3124" s="4" t="str">
        <f>"2020010612"</f>
        <v>2020010612</v>
      </c>
      <c r="C3124" s="5">
        <v>68.900000000000006</v>
      </c>
      <c r="D3124" s="6">
        <v>56.5</v>
      </c>
      <c r="E3124" s="7">
        <f t="shared" si="48"/>
        <v>125.4</v>
      </c>
      <c r="F3124" s="8"/>
    </row>
    <row r="3125" spans="1:6" ht="18" customHeight="1">
      <c r="A3125" s="4" t="s">
        <v>104</v>
      </c>
      <c r="B3125" s="4" t="str">
        <f>"2020046414"</f>
        <v>2020046414</v>
      </c>
      <c r="C3125" s="5">
        <v>59.1</v>
      </c>
      <c r="D3125" s="6">
        <v>63.5</v>
      </c>
      <c r="E3125" s="7">
        <f t="shared" si="48"/>
        <v>122.6</v>
      </c>
      <c r="F3125" s="8"/>
    </row>
    <row r="3126" spans="1:6" ht="18" customHeight="1">
      <c r="A3126" s="4" t="s">
        <v>104</v>
      </c>
      <c r="B3126" s="4" t="str">
        <f>"2020044830"</f>
        <v>2020044830</v>
      </c>
      <c r="C3126" s="5">
        <v>61.5</v>
      </c>
      <c r="D3126" s="6">
        <v>52</v>
      </c>
      <c r="E3126" s="7">
        <f t="shared" si="48"/>
        <v>113.5</v>
      </c>
      <c r="F3126" s="8"/>
    </row>
    <row r="3127" spans="1:6" ht="18" customHeight="1">
      <c r="A3127" s="4" t="s">
        <v>104</v>
      </c>
      <c r="B3127" s="4" t="str">
        <f>"2020012710"</f>
        <v>2020012710</v>
      </c>
      <c r="C3127" s="5">
        <v>59.9</v>
      </c>
      <c r="D3127" s="6">
        <v>45</v>
      </c>
      <c r="E3127" s="7">
        <f t="shared" si="48"/>
        <v>104.9</v>
      </c>
      <c r="F3127" s="8"/>
    </row>
    <row r="3128" spans="1:6" ht="18" customHeight="1">
      <c r="A3128" s="4" t="s">
        <v>104</v>
      </c>
      <c r="B3128" s="4" t="str">
        <f>"2020010711"</f>
        <v>2020010711</v>
      </c>
      <c r="C3128" s="5">
        <v>0</v>
      </c>
      <c r="D3128" s="6">
        <v>0</v>
      </c>
      <c r="E3128" s="7">
        <f t="shared" si="48"/>
        <v>0</v>
      </c>
      <c r="F3128" s="9" t="s">
        <v>8</v>
      </c>
    </row>
    <row r="3129" spans="1:6" ht="18" customHeight="1">
      <c r="A3129" s="4" t="s">
        <v>104</v>
      </c>
      <c r="B3129" s="4" t="str">
        <f>"2020011917"</f>
        <v>2020011917</v>
      </c>
      <c r="C3129" s="5">
        <v>0</v>
      </c>
      <c r="D3129" s="6">
        <v>0</v>
      </c>
      <c r="E3129" s="7">
        <f t="shared" si="48"/>
        <v>0</v>
      </c>
      <c r="F3129" s="9" t="s">
        <v>8</v>
      </c>
    </row>
    <row r="3130" spans="1:6" ht="18" customHeight="1">
      <c r="A3130" s="4" t="s">
        <v>104</v>
      </c>
      <c r="B3130" s="4" t="str">
        <f>"2020022724"</f>
        <v>2020022724</v>
      </c>
      <c r="C3130" s="5">
        <v>0</v>
      </c>
      <c r="D3130" s="6">
        <v>0</v>
      </c>
      <c r="E3130" s="7">
        <f t="shared" si="48"/>
        <v>0</v>
      </c>
      <c r="F3130" s="8" t="s">
        <v>8</v>
      </c>
    </row>
    <row r="3131" spans="1:6" ht="18" customHeight="1">
      <c r="A3131" s="4" t="s">
        <v>104</v>
      </c>
      <c r="B3131" s="4" t="str">
        <f>"2020044529"</f>
        <v>2020044529</v>
      </c>
      <c r="C3131" s="5">
        <v>0</v>
      </c>
      <c r="D3131" s="6">
        <v>0</v>
      </c>
      <c r="E3131" s="7">
        <f t="shared" si="48"/>
        <v>0</v>
      </c>
      <c r="F3131" s="8" t="s">
        <v>8</v>
      </c>
    </row>
    <row r="3132" spans="1:6" ht="18" customHeight="1">
      <c r="A3132" s="4" t="s">
        <v>105</v>
      </c>
      <c r="B3132" s="4" t="str">
        <f>"2020031321"</f>
        <v>2020031321</v>
      </c>
      <c r="C3132" s="5">
        <v>76.900000000000006</v>
      </c>
      <c r="D3132" s="6">
        <v>78</v>
      </c>
      <c r="E3132" s="7">
        <f t="shared" si="48"/>
        <v>154.9</v>
      </c>
      <c r="F3132" s="8"/>
    </row>
    <row r="3133" spans="1:6" ht="18" customHeight="1">
      <c r="A3133" s="4" t="s">
        <v>105</v>
      </c>
      <c r="B3133" s="4" t="str">
        <f>"2020012603"</f>
        <v>2020012603</v>
      </c>
      <c r="C3133" s="5">
        <v>73.900000000000006</v>
      </c>
      <c r="D3133" s="6">
        <v>80</v>
      </c>
      <c r="E3133" s="7">
        <f t="shared" si="48"/>
        <v>153.9</v>
      </c>
      <c r="F3133" s="8"/>
    </row>
    <row r="3134" spans="1:6" ht="18" customHeight="1">
      <c r="A3134" s="4" t="s">
        <v>105</v>
      </c>
      <c r="B3134" s="4" t="str">
        <f>"2020033323"</f>
        <v>2020033323</v>
      </c>
      <c r="C3134" s="5">
        <v>71.900000000000006</v>
      </c>
      <c r="D3134" s="6">
        <v>81</v>
      </c>
      <c r="E3134" s="7">
        <f t="shared" si="48"/>
        <v>152.9</v>
      </c>
      <c r="F3134" s="8"/>
    </row>
    <row r="3135" spans="1:6" ht="18" customHeight="1">
      <c r="A3135" s="4" t="s">
        <v>105</v>
      </c>
      <c r="B3135" s="4" t="str">
        <f>"2020032303"</f>
        <v>2020032303</v>
      </c>
      <c r="C3135" s="5">
        <v>74.099999999999994</v>
      </c>
      <c r="D3135" s="6">
        <v>76</v>
      </c>
      <c r="E3135" s="7">
        <f t="shared" si="48"/>
        <v>150.1</v>
      </c>
      <c r="F3135" s="8"/>
    </row>
    <row r="3136" spans="1:6" ht="18" customHeight="1">
      <c r="A3136" s="4" t="s">
        <v>105</v>
      </c>
      <c r="B3136" s="4" t="str">
        <f>"2020024608"</f>
        <v>2020024608</v>
      </c>
      <c r="C3136" s="5">
        <v>70.3</v>
      </c>
      <c r="D3136" s="6">
        <v>75.5</v>
      </c>
      <c r="E3136" s="7">
        <f t="shared" si="48"/>
        <v>145.80000000000001</v>
      </c>
      <c r="F3136" s="8"/>
    </row>
    <row r="3137" spans="1:6" ht="18" customHeight="1">
      <c r="A3137" s="4" t="s">
        <v>105</v>
      </c>
      <c r="B3137" s="4" t="str">
        <f>"2020033313"</f>
        <v>2020033313</v>
      </c>
      <c r="C3137" s="5">
        <v>69</v>
      </c>
      <c r="D3137" s="6">
        <v>76.5</v>
      </c>
      <c r="E3137" s="7">
        <f t="shared" si="48"/>
        <v>145.5</v>
      </c>
      <c r="F3137" s="8"/>
    </row>
    <row r="3138" spans="1:6" ht="18" customHeight="1">
      <c r="A3138" s="4" t="s">
        <v>105</v>
      </c>
      <c r="B3138" s="4" t="str">
        <f>"2020023012"</f>
        <v>2020023012</v>
      </c>
      <c r="C3138" s="5">
        <v>68.099999999999994</v>
      </c>
      <c r="D3138" s="6">
        <v>76</v>
      </c>
      <c r="E3138" s="7">
        <f t="shared" si="48"/>
        <v>144.1</v>
      </c>
      <c r="F3138" s="8"/>
    </row>
    <row r="3139" spans="1:6" ht="18" customHeight="1">
      <c r="A3139" s="4" t="s">
        <v>105</v>
      </c>
      <c r="B3139" s="4" t="str">
        <f>"2020045029"</f>
        <v>2020045029</v>
      </c>
      <c r="C3139" s="5">
        <v>68.900000000000006</v>
      </c>
      <c r="D3139" s="6">
        <v>75</v>
      </c>
      <c r="E3139" s="7">
        <f t="shared" ref="E3139:E3202" si="49">SUM(C3139:D3139)</f>
        <v>143.9</v>
      </c>
      <c r="F3139" s="8"/>
    </row>
    <row r="3140" spans="1:6" ht="18" customHeight="1">
      <c r="A3140" s="4" t="s">
        <v>105</v>
      </c>
      <c r="B3140" s="4" t="str">
        <f>"2020042725"</f>
        <v>2020042725</v>
      </c>
      <c r="C3140" s="5">
        <v>69.599999999999994</v>
      </c>
      <c r="D3140" s="6">
        <v>71.5</v>
      </c>
      <c r="E3140" s="7">
        <f t="shared" si="49"/>
        <v>141.1</v>
      </c>
      <c r="F3140" s="8"/>
    </row>
    <row r="3141" spans="1:6" ht="18" customHeight="1">
      <c r="A3141" s="4" t="s">
        <v>105</v>
      </c>
      <c r="B3141" s="4" t="str">
        <f>"2020041003"</f>
        <v>2020041003</v>
      </c>
      <c r="C3141" s="5">
        <v>65</v>
      </c>
      <c r="D3141" s="6">
        <v>76</v>
      </c>
      <c r="E3141" s="7">
        <f t="shared" si="49"/>
        <v>141</v>
      </c>
      <c r="F3141" s="8"/>
    </row>
    <row r="3142" spans="1:6" ht="18" customHeight="1">
      <c r="A3142" s="4" t="s">
        <v>105</v>
      </c>
      <c r="B3142" s="4" t="str">
        <f>"2020040613"</f>
        <v>2020040613</v>
      </c>
      <c r="C3142" s="5">
        <v>72.599999999999994</v>
      </c>
      <c r="D3142" s="6">
        <v>67.5</v>
      </c>
      <c r="E3142" s="7">
        <f t="shared" si="49"/>
        <v>140.1</v>
      </c>
      <c r="F3142" s="8"/>
    </row>
    <row r="3143" spans="1:6" ht="18" customHeight="1">
      <c r="A3143" s="4" t="s">
        <v>105</v>
      </c>
      <c r="B3143" s="4" t="str">
        <f>"2020043805"</f>
        <v>2020043805</v>
      </c>
      <c r="C3143" s="5">
        <v>61.4</v>
      </c>
      <c r="D3143" s="6">
        <v>78.5</v>
      </c>
      <c r="E3143" s="7">
        <f t="shared" si="49"/>
        <v>139.9</v>
      </c>
      <c r="F3143" s="8"/>
    </row>
    <row r="3144" spans="1:6" ht="18" customHeight="1">
      <c r="A3144" s="4" t="s">
        <v>105</v>
      </c>
      <c r="B3144" s="4" t="str">
        <f>"2020031526"</f>
        <v>2020031526</v>
      </c>
      <c r="C3144" s="5">
        <v>72.8</v>
      </c>
      <c r="D3144" s="6">
        <v>67</v>
      </c>
      <c r="E3144" s="7">
        <f t="shared" si="49"/>
        <v>139.80000000000001</v>
      </c>
      <c r="F3144" s="8"/>
    </row>
    <row r="3145" spans="1:6" ht="18" customHeight="1">
      <c r="A3145" s="4" t="s">
        <v>105</v>
      </c>
      <c r="B3145" s="4" t="str">
        <f>"2020022005"</f>
        <v>2020022005</v>
      </c>
      <c r="C3145" s="5">
        <v>65.400000000000006</v>
      </c>
      <c r="D3145" s="6">
        <v>74</v>
      </c>
      <c r="E3145" s="7">
        <f t="shared" si="49"/>
        <v>139.4</v>
      </c>
      <c r="F3145" s="8"/>
    </row>
    <row r="3146" spans="1:6" ht="18" customHeight="1">
      <c r="A3146" s="4" t="s">
        <v>105</v>
      </c>
      <c r="B3146" s="4" t="str">
        <f>"2020044229"</f>
        <v>2020044229</v>
      </c>
      <c r="C3146" s="5">
        <v>67.599999999999994</v>
      </c>
      <c r="D3146" s="6">
        <v>71.5</v>
      </c>
      <c r="E3146" s="7">
        <f t="shared" si="49"/>
        <v>139.1</v>
      </c>
      <c r="F3146" s="8"/>
    </row>
    <row r="3147" spans="1:6" ht="18" customHeight="1">
      <c r="A3147" s="4" t="s">
        <v>105</v>
      </c>
      <c r="B3147" s="4" t="str">
        <f>"2020040805"</f>
        <v>2020040805</v>
      </c>
      <c r="C3147" s="5">
        <v>63.6</v>
      </c>
      <c r="D3147" s="6">
        <v>74.5</v>
      </c>
      <c r="E3147" s="7">
        <f t="shared" si="49"/>
        <v>138.1</v>
      </c>
      <c r="F3147" s="8"/>
    </row>
    <row r="3148" spans="1:6" ht="18" customHeight="1">
      <c r="A3148" s="4" t="s">
        <v>105</v>
      </c>
      <c r="B3148" s="4" t="str">
        <f>"2020011623"</f>
        <v>2020011623</v>
      </c>
      <c r="C3148" s="5">
        <v>68.599999999999994</v>
      </c>
      <c r="D3148" s="6">
        <v>68.5</v>
      </c>
      <c r="E3148" s="7">
        <f t="shared" si="49"/>
        <v>137.1</v>
      </c>
      <c r="F3148" s="8"/>
    </row>
    <row r="3149" spans="1:6" ht="18" customHeight="1">
      <c r="A3149" s="4" t="s">
        <v>105</v>
      </c>
      <c r="B3149" s="4" t="str">
        <f>"2020032507"</f>
        <v>2020032507</v>
      </c>
      <c r="C3149" s="5">
        <v>62.7</v>
      </c>
      <c r="D3149" s="6">
        <v>72.5</v>
      </c>
      <c r="E3149" s="7">
        <f t="shared" si="49"/>
        <v>135.19999999999999</v>
      </c>
      <c r="F3149" s="8"/>
    </row>
    <row r="3150" spans="1:6" ht="18" customHeight="1">
      <c r="A3150" s="4" t="s">
        <v>105</v>
      </c>
      <c r="B3150" s="4" t="str">
        <f>"2020021916"</f>
        <v>2020021916</v>
      </c>
      <c r="C3150" s="5">
        <v>73.599999999999994</v>
      </c>
      <c r="D3150" s="6">
        <v>60</v>
      </c>
      <c r="E3150" s="7">
        <f t="shared" si="49"/>
        <v>133.6</v>
      </c>
      <c r="F3150" s="8"/>
    </row>
    <row r="3151" spans="1:6" ht="18" customHeight="1">
      <c r="A3151" s="4" t="s">
        <v>105</v>
      </c>
      <c r="B3151" s="4" t="str">
        <f>"2020020501"</f>
        <v>2020020501</v>
      </c>
      <c r="C3151" s="5">
        <v>67.5</v>
      </c>
      <c r="D3151" s="6">
        <v>65.5</v>
      </c>
      <c r="E3151" s="7">
        <f t="shared" si="49"/>
        <v>133</v>
      </c>
      <c r="F3151" s="8"/>
    </row>
    <row r="3152" spans="1:6" ht="18" customHeight="1">
      <c r="A3152" s="4" t="s">
        <v>105</v>
      </c>
      <c r="B3152" s="4" t="str">
        <f>"2020041611"</f>
        <v>2020041611</v>
      </c>
      <c r="C3152" s="5">
        <v>67.400000000000006</v>
      </c>
      <c r="D3152" s="6">
        <v>64.5</v>
      </c>
      <c r="E3152" s="7">
        <f t="shared" si="49"/>
        <v>131.9</v>
      </c>
      <c r="F3152" s="8"/>
    </row>
    <row r="3153" spans="1:6" ht="18" customHeight="1">
      <c r="A3153" s="4" t="s">
        <v>105</v>
      </c>
      <c r="B3153" s="4" t="str">
        <f>"2020013519"</f>
        <v>2020013519</v>
      </c>
      <c r="C3153" s="5">
        <v>63.3</v>
      </c>
      <c r="D3153" s="6">
        <v>68.5</v>
      </c>
      <c r="E3153" s="7">
        <f t="shared" si="49"/>
        <v>131.80000000000001</v>
      </c>
      <c r="F3153" s="8"/>
    </row>
    <row r="3154" spans="1:6" ht="18" customHeight="1">
      <c r="A3154" s="4" t="s">
        <v>105</v>
      </c>
      <c r="B3154" s="4" t="str">
        <f>"2020046811"</f>
        <v>2020046811</v>
      </c>
      <c r="C3154" s="5">
        <v>68.5</v>
      </c>
      <c r="D3154" s="6">
        <v>63</v>
      </c>
      <c r="E3154" s="7">
        <f t="shared" si="49"/>
        <v>131.5</v>
      </c>
      <c r="F3154" s="8"/>
    </row>
    <row r="3155" spans="1:6" ht="18" customHeight="1">
      <c r="A3155" s="4" t="s">
        <v>105</v>
      </c>
      <c r="B3155" s="4" t="str">
        <f>"2020044902"</f>
        <v>2020044902</v>
      </c>
      <c r="C3155" s="5">
        <v>65.7</v>
      </c>
      <c r="D3155" s="6">
        <v>65.5</v>
      </c>
      <c r="E3155" s="7">
        <f t="shared" si="49"/>
        <v>131.19999999999999</v>
      </c>
      <c r="F3155" s="8"/>
    </row>
    <row r="3156" spans="1:6" ht="18" customHeight="1">
      <c r="A3156" s="4" t="s">
        <v>105</v>
      </c>
      <c r="B3156" s="4" t="str">
        <f>"2020041306"</f>
        <v>2020041306</v>
      </c>
      <c r="C3156" s="5">
        <v>58.1</v>
      </c>
      <c r="D3156" s="6">
        <v>71.5</v>
      </c>
      <c r="E3156" s="7">
        <f t="shared" si="49"/>
        <v>129.6</v>
      </c>
      <c r="F3156" s="8"/>
    </row>
    <row r="3157" spans="1:6" ht="18" customHeight="1">
      <c r="A3157" s="4" t="s">
        <v>105</v>
      </c>
      <c r="B3157" s="4" t="str">
        <f>"2020020214"</f>
        <v>2020020214</v>
      </c>
      <c r="C3157" s="5">
        <v>66.900000000000006</v>
      </c>
      <c r="D3157" s="6">
        <v>62</v>
      </c>
      <c r="E3157" s="7">
        <f t="shared" si="49"/>
        <v>128.9</v>
      </c>
      <c r="F3157" s="8"/>
    </row>
    <row r="3158" spans="1:6" ht="18" customHeight="1">
      <c r="A3158" s="4" t="s">
        <v>105</v>
      </c>
      <c r="B3158" s="4" t="str">
        <f>"2020044207"</f>
        <v>2020044207</v>
      </c>
      <c r="C3158" s="5">
        <v>64.5</v>
      </c>
      <c r="D3158" s="6">
        <v>64</v>
      </c>
      <c r="E3158" s="7">
        <f t="shared" si="49"/>
        <v>128.5</v>
      </c>
      <c r="F3158" s="8"/>
    </row>
    <row r="3159" spans="1:6" ht="18" customHeight="1">
      <c r="A3159" s="4" t="s">
        <v>105</v>
      </c>
      <c r="B3159" s="4" t="str">
        <f>"2020023827"</f>
        <v>2020023827</v>
      </c>
      <c r="C3159" s="5">
        <v>65.099999999999994</v>
      </c>
      <c r="D3159" s="6">
        <v>60</v>
      </c>
      <c r="E3159" s="7">
        <f t="shared" si="49"/>
        <v>125.1</v>
      </c>
      <c r="F3159" s="8"/>
    </row>
    <row r="3160" spans="1:6" ht="18" customHeight="1">
      <c r="A3160" s="4" t="s">
        <v>105</v>
      </c>
      <c r="B3160" s="4" t="str">
        <f>"2020023001"</f>
        <v>2020023001</v>
      </c>
      <c r="C3160" s="5">
        <v>64.099999999999994</v>
      </c>
      <c r="D3160" s="6">
        <v>61</v>
      </c>
      <c r="E3160" s="7">
        <f t="shared" si="49"/>
        <v>125.1</v>
      </c>
      <c r="F3160" s="8"/>
    </row>
    <row r="3161" spans="1:6" ht="18" customHeight="1">
      <c r="A3161" s="4" t="s">
        <v>105</v>
      </c>
      <c r="B3161" s="4" t="str">
        <f>"2020045807"</f>
        <v>2020045807</v>
      </c>
      <c r="C3161" s="5">
        <v>63.2</v>
      </c>
      <c r="D3161" s="6">
        <v>60.5</v>
      </c>
      <c r="E3161" s="7">
        <f t="shared" si="49"/>
        <v>123.7</v>
      </c>
      <c r="F3161" s="8"/>
    </row>
    <row r="3162" spans="1:6" ht="18" customHeight="1">
      <c r="A3162" s="4" t="s">
        <v>105</v>
      </c>
      <c r="B3162" s="4" t="str">
        <f>"2020033624"</f>
        <v>2020033624</v>
      </c>
      <c r="C3162" s="5">
        <v>57.6</v>
      </c>
      <c r="D3162" s="6">
        <v>63.5</v>
      </c>
      <c r="E3162" s="7">
        <f t="shared" si="49"/>
        <v>121.1</v>
      </c>
      <c r="F3162" s="8"/>
    </row>
    <row r="3163" spans="1:6" ht="18" customHeight="1">
      <c r="A3163" s="4" t="s">
        <v>105</v>
      </c>
      <c r="B3163" s="4" t="str">
        <f>"2020023616"</f>
        <v>2020023616</v>
      </c>
      <c r="C3163" s="5">
        <v>63.9</v>
      </c>
      <c r="D3163" s="6">
        <v>56.5</v>
      </c>
      <c r="E3163" s="7">
        <f t="shared" si="49"/>
        <v>120.4</v>
      </c>
      <c r="F3163" s="8"/>
    </row>
    <row r="3164" spans="1:6" ht="18" customHeight="1">
      <c r="A3164" s="4" t="s">
        <v>105</v>
      </c>
      <c r="B3164" s="4" t="str">
        <f>"2020022621"</f>
        <v>2020022621</v>
      </c>
      <c r="C3164" s="5">
        <v>60.7</v>
      </c>
      <c r="D3164" s="6">
        <v>59</v>
      </c>
      <c r="E3164" s="7">
        <f t="shared" si="49"/>
        <v>119.7</v>
      </c>
      <c r="F3164" s="8"/>
    </row>
    <row r="3165" spans="1:6" ht="18" customHeight="1">
      <c r="A3165" s="4" t="s">
        <v>105</v>
      </c>
      <c r="B3165" s="4" t="str">
        <f>"2020020129"</f>
        <v>2020020129</v>
      </c>
      <c r="C3165" s="5">
        <v>59.8</v>
      </c>
      <c r="D3165" s="6">
        <v>59</v>
      </c>
      <c r="E3165" s="7">
        <f t="shared" si="49"/>
        <v>118.8</v>
      </c>
      <c r="F3165" s="8"/>
    </row>
    <row r="3166" spans="1:6" ht="18" customHeight="1">
      <c r="A3166" s="4" t="s">
        <v>105</v>
      </c>
      <c r="B3166" s="4" t="str">
        <f>"2020023309"</f>
        <v>2020023309</v>
      </c>
      <c r="C3166" s="5">
        <v>55.9</v>
      </c>
      <c r="D3166" s="6">
        <v>62</v>
      </c>
      <c r="E3166" s="7">
        <f t="shared" si="49"/>
        <v>117.9</v>
      </c>
      <c r="F3166" s="8"/>
    </row>
    <row r="3167" spans="1:6" ht="18" customHeight="1">
      <c r="A3167" s="4" t="s">
        <v>105</v>
      </c>
      <c r="B3167" s="4" t="str">
        <f>"2020021330"</f>
        <v>2020021330</v>
      </c>
      <c r="C3167" s="5">
        <v>56.6</v>
      </c>
      <c r="D3167" s="6">
        <v>60</v>
      </c>
      <c r="E3167" s="7">
        <f t="shared" si="49"/>
        <v>116.6</v>
      </c>
      <c r="F3167" s="8"/>
    </row>
    <row r="3168" spans="1:6" ht="18" customHeight="1">
      <c r="A3168" s="4" t="s">
        <v>105</v>
      </c>
      <c r="B3168" s="4" t="str">
        <f>"2020023718"</f>
        <v>2020023718</v>
      </c>
      <c r="C3168" s="5">
        <v>50.6</v>
      </c>
      <c r="D3168" s="6">
        <v>66</v>
      </c>
      <c r="E3168" s="7">
        <f t="shared" si="49"/>
        <v>116.6</v>
      </c>
      <c r="F3168" s="8"/>
    </row>
    <row r="3169" spans="1:6" ht="18" customHeight="1">
      <c r="A3169" s="4" t="s">
        <v>105</v>
      </c>
      <c r="B3169" s="4" t="str">
        <f>"2020023529"</f>
        <v>2020023529</v>
      </c>
      <c r="C3169" s="5">
        <v>59.7</v>
      </c>
      <c r="D3169" s="6">
        <v>55.5</v>
      </c>
      <c r="E3169" s="7">
        <f t="shared" si="49"/>
        <v>115.2</v>
      </c>
      <c r="F3169" s="8"/>
    </row>
    <row r="3170" spans="1:6" ht="18" customHeight="1">
      <c r="A3170" s="4" t="s">
        <v>105</v>
      </c>
      <c r="B3170" s="4" t="str">
        <f>"2020044918"</f>
        <v>2020044918</v>
      </c>
      <c r="C3170" s="5">
        <v>48.5</v>
      </c>
      <c r="D3170" s="6">
        <v>64.5</v>
      </c>
      <c r="E3170" s="7">
        <f t="shared" si="49"/>
        <v>113</v>
      </c>
      <c r="F3170" s="8"/>
    </row>
    <row r="3171" spans="1:6" ht="18" customHeight="1">
      <c r="A3171" s="4" t="s">
        <v>105</v>
      </c>
      <c r="B3171" s="4" t="str">
        <f>"2020043704"</f>
        <v>2020043704</v>
      </c>
      <c r="C3171" s="5">
        <v>59.6</v>
      </c>
      <c r="D3171" s="6">
        <v>52</v>
      </c>
      <c r="E3171" s="7">
        <f t="shared" si="49"/>
        <v>111.6</v>
      </c>
      <c r="F3171" s="8"/>
    </row>
    <row r="3172" spans="1:6" ht="18" customHeight="1">
      <c r="A3172" s="4" t="s">
        <v>105</v>
      </c>
      <c r="B3172" s="4" t="str">
        <f>"2020041425"</f>
        <v>2020041425</v>
      </c>
      <c r="C3172" s="5">
        <v>61.2</v>
      </c>
      <c r="D3172" s="6">
        <v>47.5</v>
      </c>
      <c r="E3172" s="7">
        <f t="shared" si="49"/>
        <v>108.7</v>
      </c>
      <c r="F3172" s="8"/>
    </row>
    <row r="3173" spans="1:6" ht="18" customHeight="1">
      <c r="A3173" s="4" t="s">
        <v>105</v>
      </c>
      <c r="B3173" s="4" t="str">
        <f>"2020020704"</f>
        <v>2020020704</v>
      </c>
      <c r="C3173" s="5">
        <v>57</v>
      </c>
      <c r="D3173" s="6">
        <v>51.5</v>
      </c>
      <c r="E3173" s="7">
        <f t="shared" si="49"/>
        <v>108.5</v>
      </c>
      <c r="F3173" s="8"/>
    </row>
    <row r="3174" spans="1:6" ht="18" customHeight="1">
      <c r="A3174" s="4" t="s">
        <v>105</v>
      </c>
      <c r="B3174" s="4" t="str">
        <f>"2020013729"</f>
        <v>2020013729</v>
      </c>
      <c r="C3174" s="5">
        <v>59.3</v>
      </c>
      <c r="D3174" s="6">
        <v>47.5</v>
      </c>
      <c r="E3174" s="7">
        <f t="shared" si="49"/>
        <v>106.8</v>
      </c>
      <c r="F3174" s="8"/>
    </row>
    <row r="3175" spans="1:6" ht="18" customHeight="1">
      <c r="A3175" s="4" t="s">
        <v>105</v>
      </c>
      <c r="B3175" s="4" t="str">
        <f>"2020010301"</f>
        <v>2020010301</v>
      </c>
      <c r="C3175" s="5">
        <v>0</v>
      </c>
      <c r="D3175" s="6">
        <v>0</v>
      </c>
      <c r="E3175" s="7">
        <f t="shared" si="49"/>
        <v>0</v>
      </c>
      <c r="F3175" s="9" t="s">
        <v>8</v>
      </c>
    </row>
    <row r="3176" spans="1:6" ht="18" customHeight="1">
      <c r="A3176" s="4" t="s">
        <v>105</v>
      </c>
      <c r="B3176" s="4" t="str">
        <f>"2020010730"</f>
        <v>2020010730</v>
      </c>
      <c r="C3176" s="5">
        <v>0</v>
      </c>
      <c r="D3176" s="6">
        <v>0</v>
      </c>
      <c r="E3176" s="7">
        <f t="shared" si="49"/>
        <v>0</v>
      </c>
      <c r="F3176" s="9" t="s">
        <v>8</v>
      </c>
    </row>
    <row r="3177" spans="1:6" ht="18" customHeight="1">
      <c r="A3177" s="4" t="s">
        <v>105</v>
      </c>
      <c r="B3177" s="4" t="str">
        <f>"2020011722"</f>
        <v>2020011722</v>
      </c>
      <c r="C3177" s="5">
        <v>0</v>
      </c>
      <c r="D3177" s="6">
        <v>0</v>
      </c>
      <c r="E3177" s="7">
        <f t="shared" si="49"/>
        <v>0</v>
      </c>
      <c r="F3177" s="9" t="s">
        <v>8</v>
      </c>
    </row>
    <row r="3178" spans="1:6" ht="18" customHeight="1">
      <c r="A3178" s="4" t="s">
        <v>105</v>
      </c>
      <c r="B3178" s="4" t="str">
        <f>"2020012830"</f>
        <v>2020012830</v>
      </c>
      <c r="C3178" s="5">
        <v>0</v>
      </c>
      <c r="D3178" s="6">
        <v>0</v>
      </c>
      <c r="E3178" s="7">
        <f t="shared" si="49"/>
        <v>0</v>
      </c>
      <c r="F3178" s="9" t="s">
        <v>8</v>
      </c>
    </row>
    <row r="3179" spans="1:6" ht="18" customHeight="1">
      <c r="A3179" s="4" t="s">
        <v>105</v>
      </c>
      <c r="B3179" s="4" t="str">
        <f>"2020013209"</f>
        <v>2020013209</v>
      </c>
      <c r="C3179" s="5">
        <v>0</v>
      </c>
      <c r="D3179" s="6">
        <v>0</v>
      </c>
      <c r="E3179" s="7">
        <f t="shared" si="49"/>
        <v>0</v>
      </c>
      <c r="F3179" s="9" t="s">
        <v>8</v>
      </c>
    </row>
    <row r="3180" spans="1:6" ht="18" customHeight="1">
      <c r="A3180" s="4" t="s">
        <v>105</v>
      </c>
      <c r="B3180" s="4" t="str">
        <f>"2020013510"</f>
        <v>2020013510</v>
      </c>
      <c r="C3180" s="5">
        <v>0</v>
      </c>
      <c r="D3180" s="6">
        <v>0</v>
      </c>
      <c r="E3180" s="7">
        <f t="shared" si="49"/>
        <v>0</v>
      </c>
      <c r="F3180" s="9" t="s">
        <v>8</v>
      </c>
    </row>
    <row r="3181" spans="1:6" ht="18" customHeight="1">
      <c r="A3181" s="4" t="s">
        <v>105</v>
      </c>
      <c r="B3181" s="4" t="str">
        <f>"2020021808"</f>
        <v>2020021808</v>
      </c>
      <c r="C3181" s="5">
        <v>0</v>
      </c>
      <c r="D3181" s="6">
        <v>0</v>
      </c>
      <c r="E3181" s="7">
        <f t="shared" si="49"/>
        <v>0</v>
      </c>
      <c r="F3181" s="8" t="s">
        <v>8</v>
      </c>
    </row>
    <row r="3182" spans="1:6" ht="18" customHeight="1">
      <c r="A3182" s="4" t="s">
        <v>105</v>
      </c>
      <c r="B3182" s="4" t="str">
        <f>"2020040413"</f>
        <v>2020040413</v>
      </c>
      <c r="C3182" s="5">
        <v>0</v>
      </c>
      <c r="D3182" s="6">
        <v>0</v>
      </c>
      <c r="E3182" s="7">
        <f t="shared" si="49"/>
        <v>0</v>
      </c>
      <c r="F3182" s="8" t="s">
        <v>8</v>
      </c>
    </row>
    <row r="3183" spans="1:6" ht="18" customHeight="1">
      <c r="A3183" s="4" t="s">
        <v>105</v>
      </c>
      <c r="B3183" s="4" t="str">
        <f>"2020042427"</f>
        <v>2020042427</v>
      </c>
      <c r="C3183" s="5">
        <v>0</v>
      </c>
      <c r="D3183" s="6">
        <v>0</v>
      </c>
      <c r="E3183" s="7">
        <f t="shared" si="49"/>
        <v>0</v>
      </c>
      <c r="F3183" s="8" t="s">
        <v>8</v>
      </c>
    </row>
    <row r="3184" spans="1:6" ht="18" customHeight="1">
      <c r="A3184" s="4" t="s">
        <v>105</v>
      </c>
      <c r="B3184" s="4" t="str">
        <f>"2020044401"</f>
        <v>2020044401</v>
      </c>
      <c r="C3184" s="5">
        <v>0</v>
      </c>
      <c r="D3184" s="6">
        <v>0</v>
      </c>
      <c r="E3184" s="7">
        <f t="shared" si="49"/>
        <v>0</v>
      </c>
      <c r="F3184" s="8" t="s">
        <v>8</v>
      </c>
    </row>
    <row r="3185" spans="1:6" ht="18" customHeight="1">
      <c r="A3185" s="4" t="s">
        <v>105</v>
      </c>
      <c r="B3185" s="4" t="str">
        <f>"2020045214"</f>
        <v>2020045214</v>
      </c>
      <c r="C3185" s="5">
        <v>0</v>
      </c>
      <c r="D3185" s="6">
        <v>0</v>
      </c>
      <c r="E3185" s="7">
        <f t="shared" si="49"/>
        <v>0</v>
      </c>
      <c r="F3185" s="8" t="s">
        <v>8</v>
      </c>
    </row>
    <row r="3186" spans="1:6" ht="18" customHeight="1">
      <c r="A3186" s="4" t="s">
        <v>105</v>
      </c>
      <c r="B3186" s="4" t="str">
        <f>"2020046510"</f>
        <v>2020046510</v>
      </c>
      <c r="C3186" s="5">
        <v>0</v>
      </c>
      <c r="D3186" s="6">
        <v>0</v>
      </c>
      <c r="E3186" s="7">
        <f t="shared" si="49"/>
        <v>0</v>
      </c>
      <c r="F3186" s="8" t="s">
        <v>8</v>
      </c>
    </row>
    <row r="3187" spans="1:6" ht="18" customHeight="1">
      <c r="A3187" s="4" t="s">
        <v>105</v>
      </c>
      <c r="B3187" s="4" t="str">
        <f>"2020046626"</f>
        <v>2020046626</v>
      </c>
      <c r="C3187" s="5">
        <v>0</v>
      </c>
      <c r="D3187" s="6">
        <v>0</v>
      </c>
      <c r="E3187" s="7">
        <f t="shared" si="49"/>
        <v>0</v>
      </c>
      <c r="F3187" s="8" t="s">
        <v>8</v>
      </c>
    </row>
    <row r="3188" spans="1:6" ht="18" customHeight="1">
      <c r="A3188" s="4" t="s">
        <v>105</v>
      </c>
      <c r="B3188" s="4" t="str">
        <f>"2020047024"</f>
        <v>2020047024</v>
      </c>
      <c r="C3188" s="5">
        <v>0</v>
      </c>
      <c r="D3188" s="6">
        <v>0</v>
      </c>
      <c r="E3188" s="7">
        <f t="shared" si="49"/>
        <v>0</v>
      </c>
      <c r="F3188" s="8" t="s">
        <v>8</v>
      </c>
    </row>
    <row r="3189" spans="1:6" ht="18" customHeight="1">
      <c r="A3189" s="4" t="s">
        <v>105</v>
      </c>
      <c r="B3189" s="4" t="str">
        <f>"2020047517"</f>
        <v>2020047517</v>
      </c>
      <c r="C3189" s="5">
        <v>0</v>
      </c>
      <c r="D3189" s="6">
        <v>0</v>
      </c>
      <c r="E3189" s="7">
        <f t="shared" si="49"/>
        <v>0</v>
      </c>
      <c r="F3189" s="8" t="s">
        <v>8</v>
      </c>
    </row>
    <row r="3190" spans="1:6" ht="18" customHeight="1">
      <c r="A3190" s="4" t="s">
        <v>105</v>
      </c>
      <c r="B3190" s="4" t="str">
        <f>"2020047529"</f>
        <v>2020047529</v>
      </c>
      <c r="C3190" s="5">
        <v>0</v>
      </c>
      <c r="D3190" s="6">
        <v>0</v>
      </c>
      <c r="E3190" s="7">
        <f t="shared" si="49"/>
        <v>0</v>
      </c>
      <c r="F3190" s="8" t="s">
        <v>8</v>
      </c>
    </row>
    <row r="3191" spans="1:6" ht="18" customHeight="1">
      <c r="A3191" s="4" t="s">
        <v>106</v>
      </c>
      <c r="B3191" s="4" t="str">
        <f>"2020045927"</f>
        <v>2020045927</v>
      </c>
      <c r="C3191" s="5">
        <v>67</v>
      </c>
      <c r="D3191" s="6">
        <v>83.5</v>
      </c>
      <c r="E3191" s="7">
        <f t="shared" si="49"/>
        <v>150.5</v>
      </c>
      <c r="F3191" s="8"/>
    </row>
    <row r="3192" spans="1:6" ht="18" customHeight="1">
      <c r="A3192" s="4" t="s">
        <v>106</v>
      </c>
      <c r="B3192" s="4" t="str">
        <f>"2020042525"</f>
        <v>2020042525</v>
      </c>
      <c r="C3192" s="5">
        <v>70.2</v>
      </c>
      <c r="D3192" s="6">
        <v>77.5</v>
      </c>
      <c r="E3192" s="7">
        <f t="shared" si="49"/>
        <v>147.69999999999999</v>
      </c>
      <c r="F3192" s="8"/>
    </row>
    <row r="3193" spans="1:6" ht="18" customHeight="1">
      <c r="A3193" s="4" t="s">
        <v>106</v>
      </c>
      <c r="B3193" s="4" t="str">
        <f>"2020044313"</f>
        <v>2020044313</v>
      </c>
      <c r="C3193" s="5">
        <v>74.3</v>
      </c>
      <c r="D3193" s="6">
        <v>65.5</v>
      </c>
      <c r="E3193" s="7">
        <f t="shared" si="49"/>
        <v>139.80000000000001</v>
      </c>
      <c r="F3193" s="8"/>
    </row>
    <row r="3194" spans="1:6" ht="18" customHeight="1">
      <c r="A3194" s="4" t="s">
        <v>106</v>
      </c>
      <c r="B3194" s="4" t="str">
        <f>"2020033318"</f>
        <v>2020033318</v>
      </c>
      <c r="C3194" s="5">
        <v>66.599999999999994</v>
      </c>
      <c r="D3194" s="6">
        <v>71.5</v>
      </c>
      <c r="E3194" s="7">
        <f t="shared" si="49"/>
        <v>138.1</v>
      </c>
      <c r="F3194" s="8"/>
    </row>
    <row r="3195" spans="1:6" ht="18" customHeight="1">
      <c r="A3195" s="4" t="s">
        <v>106</v>
      </c>
      <c r="B3195" s="4" t="str">
        <f>"2020040322"</f>
        <v>2020040322</v>
      </c>
      <c r="C3195" s="5">
        <v>59.5</v>
      </c>
      <c r="D3195" s="6">
        <v>74</v>
      </c>
      <c r="E3195" s="7">
        <f t="shared" si="49"/>
        <v>133.5</v>
      </c>
      <c r="F3195" s="8"/>
    </row>
    <row r="3196" spans="1:6" ht="18" customHeight="1">
      <c r="A3196" s="4" t="s">
        <v>106</v>
      </c>
      <c r="B3196" s="4" t="str">
        <f>"2020046630"</f>
        <v>2020046630</v>
      </c>
      <c r="C3196" s="5">
        <v>68.2</v>
      </c>
      <c r="D3196" s="6">
        <v>63</v>
      </c>
      <c r="E3196" s="7">
        <f t="shared" si="49"/>
        <v>131.19999999999999</v>
      </c>
      <c r="F3196" s="8"/>
    </row>
    <row r="3197" spans="1:6" ht="18" customHeight="1">
      <c r="A3197" s="4" t="s">
        <v>106</v>
      </c>
      <c r="B3197" s="4" t="str">
        <f>"2020011912"</f>
        <v>2020011912</v>
      </c>
      <c r="C3197" s="5">
        <v>61</v>
      </c>
      <c r="D3197" s="6">
        <v>67.5</v>
      </c>
      <c r="E3197" s="7">
        <f t="shared" si="49"/>
        <v>128.5</v>
      </c>
      <c r="F3197" s="8"/>
    </row>
    <row r="3198" spans="1:6" ht="18" customHeight="1">
      <c r="A3198" s="4" t="s">
        <v>106</v>
      </c>
      <c r="B3198" s="4" t="str">
        <f>"2020013406"</f>
        <v>2020013406</v>
      </c>
      <c r="C3198" s="5">
        <v>57.3</v>
      </c>
      <c r="D3198" s="6">
        <v>61.5</v>
      </c>
      <c r="E3198" s="7">
        <f t="shared" si="49"/>
        <v>118.8</v>
      </c>
      <c r="F3198" s="8"/>
    </row>
    <row r="3199" spans="1:6" ht="18" customHeight="1">
      <c r="A3199" s="4" t="s">
        <v>106</v>
      </c>
      <c r="B3199" s="4" t="str">
        <f>"2020022408"</f>
        <v>2020022408</v>
      </c>
      <c r="C3199" s="5">
        <v>0</v>
      </c>
      <c r="D3199" s="6">
        <v>0</v>
      </c>
      <c r="E3199" s="7">
        <f t="shared" si="49"/>
        <v>0</v>
      </c>
      <c r="F3199" s="8" t="s">
        <v>8</v>
      </c>
    </row>
    <row r="3200" spans="1:6" ht="18" customHeight="1">
      <c r="A3200" s="4" t="s">
        <v>106</v>
      </c>
      <c r="B3200" s="4" t="str">
        <f>"2020031902"</f>
        <v>2020031902</v>
      </c>
      <c r="C3200" s="5">
        <v>0</v>
      </c>
      <c r="D3200" s="6">
        <v>0</v>
      </c>
      <c r="E3200" s="7">
        <f t="shared" si="49"/>
        <v>0</v>
      </c>
      <c r="F3200" s="8" t="s">
        <v>8</v>
      </c>
    </row>
    <row r="3201" spans="1:6" ht="18" customHeight="1">
      <c r="A3201" s="4" t="s">
        <v>107</v>
      </c>
      <c r="B3201" s="4" t="str">
        <f>"2020041623"</f>
        <v>2020041623</v>
      </c>
      <c r="C3201" s="5">
        <v>64.900000000000006</v>
      </c>
      <c r="D3201" s="6">
        <v>84.5</v>
      </c>
      <c r="E3201" s="7">
        <f t="shared" si="49"/>
        <v>149.4</v>
      </c>
      <c r="F3201" s="8"/>
    </row>
    <row r="3202" spans="1:6" ht="18" customHeight="1">
      <c r="A3202" s="4" t="s">
        <v>107</v>
      </c>
      <c r="B3202" s="4" t="str">
        <f>"2020041310"</f>
        <v>2020041310</v>
      </c>
      <c r="C3202" s="5">
        <v>73.8</v>
      </c>
      <c r="D3202" s="6">
        <v>71.5</v>
      </c>
      <c r="E3202" s="7">
        <f t="shared" si="49"/>
        <v>145.30000000000001</v>
      </c>
      <c r="F3202" s="8"/>
    </row>
    <row r="3203" spans="1:6" ht="18" customHeight="1">
      <c r="A3203" s="4" t="s">
        <v>107</v>
      </c>
      <c r="B3203" s="4" t="str">
        <f>"2020020103"</f>
        <v>2020020103</v>
      </c>
      <c r="C3203" s="5">
        <v>69.7</v>
      </c>
      <c r="D3203" s="6">
        <v>75</v>
      </c>
      <c r="E3203" s="7">
        <f t="shared" ref="E3203:E3266" si="50">SUM(C3203:D3203)</f>
        <v>144.69999999999999</v>
      </c>
      <c r="F3203" s="8"/>
    </row>
    <row r="3204" spans="1:6" ht="18" customHeight="1">
      <c r="A3204" s="4" t="s">
        <v>107</v>
      </c>
      <c r="B3204" s="4" t="str">
        <f>"2020044607"</f>
        <v>2020044607</v>
      </c>
      <c r="C3204" s="5">
        <v>77.099999999999994</v>
      </c>
      <c r="D3204" s="6">
        <v>66.5</v>
      </c>
      <c r="E3204" s="7">
        <f t="shared" si="50"/>
        <v>143.6</v>
      </c>
      <c r="F3204" s="8"/>
    </row>
    <row r="3205" spans="1:6" ht="18" customHeight="1">
      <c r="A3205" s="4" t="s">
        <v>107</v>
      </c>
      <c r="B3205" s="4" t="str">
        <f>"2020041217"</f>
        <v>2020041217</v>
      </c>
      <c r="C3205" s="5">
        <v>70.2</v>
      </c>
      <c r="D3205" s="6">
        <v>72.5</v>
      </c>
      <c r="E3205" s="7">
        <f t="shared" si="50"/>
        <v>142.69999999999999</v>
      </c>
      <c r="F3205" s="8"/>
    </row>
    <row r="3206" spans="1:6" ht="18" customHeight="1">
      <c r="A3206" s="4" t="s">
        <v>107</v>
      </c>
      <c r="B3206" s="4" t="str">
        <f>"2020013205"</f>
        <v>2020013205</v>
      </c>
      <c r="C3206" s="5">
        <v>76.5</v>
      </c>
      <c r="D3206" s="6">
        <v>65.5</v>
      </c>
      <c r="E3206" s="7">
        <f t="shared" si="50"/>
        <v>142</v>
      </c>
      <c r="F3206" s="8"/>
    </row>
    <row r="3207" spans="1:6" ht="18" customHeight="1">
      <c r="A3207" s="4" t="s">
        <v>107</v>
      </c>
      <c r="B3207" s="4" t="str">
        <f>"2020045519"</f>
        <v>2020045519</v>
      </c>
      <c r="C3207" s="5">
        <v>73.599999999999994</v>
      </c>
      <c r="D3207" s="6">
        <v>64.5</v>
      </c>
      <c r="E3207" s="7">
        <f t="shared" si="50"/>
        <v>138.1</v>
      </c>
      <c r="F3207" s="8"/>
    </row>
    <row r="3208" spans="1:6" ht="18" customHeight="1">
      <c r="A3208" s="4" t="s">
        <v>107</v>
      </c>
      <c r="B3208" s="4" t="str">
        <f>"2020023113"</f>
        <v>2020023113</v>
      </c>
      <c r="C3208" s="5">
        <v>70</v>
      </c>
      <c r="D3208" s="6">
        <v>66</v>
      </c>
      <c r="E3208" s="7">
        <f t="shared" si="50"/>
        <v>136</v>
      </c>
      <c r="F3208" s="8"/>
    </row>
    <row r="3209" spans="1:6" ht="18" customHeight="1">
      <c r="A3209" s="4" t="s">
        <v>107</v>
      </c>
      <c r="B3209" s="4" t="str">
        <f>"2020044216"</f>
        <v>2020044216</v>
      </c>
      <c r="C3209" s="5">
        <v>68.3</v>
      </c>
      <c r="D3209" s="6">
        <v>67.5</v>
      </c>
      <c r="E3209" s="7">
        <f t="shared" si="50"/>
        <v>135.80000000000001</v>
      </c>
      <c r="F3209" s="8"/>
    </row>
    <row r="3210" spans="1:6" ht="18" customHeight="1">
      <c r="A3210" s="4" t="s">
        <v>107</v>
      </c>
      <c r="B3210" s="4" t="str">
        <f>"2020044601"</f>
        <v>2020044601</v>
      </c>
      <c r="C3210" s="5">
        <v>64.3</v>
      </c>
      <c r="D3210" s="6">
        <v>68</v>
      </c>
      <c r="E3210" s="7">
        <f t="shared" si="50"/>
        <v>132.30000000000001</v>
      </c>
      <c r="F3210" s="8"/>
    </row>
    <row r="3211" spans="1:6" ht="18" customHeight="1">
      <c r="A3211" s="4" t="s">
        <v>107</v>
      </c>
      <c r="B3211" s="4" t="str">
        <f>"2020022511"</f>
        <v>2020022511</v>
      </c>
      <c r="C3211" s="5">
        <v>71.400000000000006</v>
      </c>
      <c r="D3211" s="6">
        <v>60.5</v>
      </c>
      <c r="E3211" s="7">
        <f t="shared" si="50"/>
        <v>131.9</v>
      </c>
      <c r="F3211" s="8"/>
    </row>
    <row r="3212" spans="1:6" ht="18" customHeight="1">
      <c r="A3212" s="4" t="s">
        <v>107</v>
      </c>
      <c r="B3212" s="4" t="str">
        <f>"2020044403"</f>
        <v>2020044403</v>
      </c>
      <c r="C3212" s="5">
        <v>70.3</v>
      </c>
      <c r="D3212" s="6">
        <v>59</v>
      </c>
      <c r="E3212" s="7">
        <f t="shared" si="50"/>
        <v>129.30000000000001</v>
      </c>
      <c r="F3212" s="8"/>
    </row>
    <row r="3213" spans="1:6" ht="18" customHeight="1">
      <c r="A3213" s="4" t="s">
        <v>107</v>
      </c>
      <c r="B3213" s="4" t="str">
        <f>"2020024114"</f>
        <v>2020024114</v>
      </c>
      <c r="C3213" s="5">
        <v>68.5</v>
      </c>
      <c r="D3213" s="6">
        <v>56.5</v>
      </c>
      <c r="E3213" s="7">
        <f t="shared" si="50"/>
        <v>125</v>
      </c>
      <c r="F3213" s="8"/>
    </row>
    <row r="3214" spans="1:6" ht="18" customHeight="1">
      <c r="A3214" s="4" t="s">
        <v>107</v>
      </c>
      <c r="B3214" s="4" t="str">
        <f>"2020022814"</f>
        <v>2020022814</v>
      </c>
      <c r="C3214" s="5">
        <v>66.400000000000006</v>
      </c>
      <c r="D3214" s="6">
        <v>57</v>
      </c>
      <c r="E3214" s="7">
        <f t="shared" si="50"/>
        <v>123.4</v>
      </c>
      <c r="F3214" s="8"/>
    </row>
    <row r="3215" spans="1:6" ht="18" customHeight="1">
      <c r="A3215" s="4" t="s">
        <v>107</v>
      </c>
      <c r="B3215" s="4" t="str">
        <f>"2020021327"</f>
        <v>2020021327</v>
      </c>
      <c r="C3215" s="5">
        <v>0</v>
      </c>
      <c r="D3215" s="6">
        <v>0</v>
      </c>
      <c r="E3215" s="7">
        <f t="shared" si="50"/>
        <v>0</v>
      </c>
      <c r="F3215" s="8" t="s">
        <v>8</v>
      </c>
    </row>
    <row r="3216" spans="1:6" ht="18" customHeight="1">
      <c r="A3216" s="4" t="s">
        <v>107</v>
      </c>
      <c r="B3216" s="4" t="str">
        <f>"2020041627"</f>
        <v>2020041627</v>
      </c>
      <c r="C3216" s="5">
        <v>0</v>
      </c>
      <c r="D3216" s="6">
        <v>0</v>
      </c>
      <c r="E3216" s="7">
        <f t="shared" si="50"/>
        <v>0</v>
      </c>
      <c r="F3216" s="8" t="s">
        <v>8</v>
      </c>
    </row>
    <row r="3217" spans="1:6" ht="18" customHeight="1">
      <c r="A3217" s="4" t="s">
        <v>107</v>
      </c>
      <c r="B3217" s="4" t="str">
        <f>"2020045818"</f>
        <v>2020045818</v>
      </c>
      <c r="C3217" s="5">
        <v>0</v>
      </c>
      <c r="D3217" s="6">
        <v>0</v>
      </c>
      <c r="E3217" s="7">
        <f t="shared" si="50"/>
        <v>0</v>
      </c>
      <c r="F3217" s="8" t="s">
        <v>8</v>
      </c>
    </row>
    <row r="3218" spans="1:6" ht="18" customHeight="1">
      <c r="A3218" s="4" t="s">
        <v>108</v>
      </c>
      <c r="B3218" s="4" t="str">
        <f>"2020033910"</f>
        <v>2020033910</v>
      </c>
      <c r="C3218" s="5">
        <v>80.2</v>
      </c>
      <c r="D3218" s="6">
        <v>85.5</v>
      </c>
      <c r="E3218" s="7">
        <f t="shared" si="50"/>
        <v>165.7</v>
      </c>
      <c r="F3218" s="8"/>
    </row>
    <row r="3219" spans="1:6" ht="18" customHeight="1">
      <c r="A3219" s="4" t="s">
        <v>108</v>
      </c>
      <c r="B3219" s="4" t="str">
        <f>"2020041714"</f>
        <v>2020041714</v>
      </c>
      <c r="C3219" s="5">
        <v>71.5</v>
      </c>
      <c r="D3219" s="6">
        <v>75</v>
      </c>
      <c r="E3219" s="7">
        <f t="shared" si="50"/>
        <v>146.5</v>
      </c>
      <c r="F3219" s="8"/>
    </row>
    <row r="3220" spans="1:6" ht="18" customHeight="1">
      <c r="A3220" s="4" t="s">
        <v>108</v>
      </c>
      <c r="B3220" s="4" t="str">
        <f>"2020046815"</f>
        <v>2020046815</v>
      </c>
      <c r="C3220" s="5">
        <v>60.8</v>
      </c>
      <c r="D3220" s="6">
        <v>79</v>
      </c>
      <c r="E3220" s="7">
        <f t="shared" si="50"/>
        <v>139.80000000000001</v>
      </c>
      <c r="F3220" s="8"/>
    </row>
    <row r="3221" spans="1:6" ht="18" customHeight="1">
      <c r="A3221" s="4" t="s">
        <v>108</v>
      </c>
      <c r="B3221" s="4" t="str">
        <f>"2020033520"</f>
        <v>2020033520</v>
      </c>
      <c r="C3221" s="5">
        <v>63.3</v>
      </c>
      <c r="D3221" s="6">
        <v>74.5</v>
      </c>
      <c r="E3221" s="7">
        <f t="shared" si="50"/>
        <v>137.80000000000001</v>
      </c>
      <c r="F3221" s="8"/>
    </row>
    <row r="3222" spans="1:6" ht="18" customHeight="1">
      <c r="A3222" s="4" t="s">
        <v>108</v>
      </c>
      <c r="B3222" s="4" t="str">
        <f>"2020045804"</f>
        <v>2020045804</v>
      </c>
      <c r="C3222" s="5">
        <v>64.099999999999994</v>
      </c>
      <c r="D3222" s="6">
        <v>72</v>
      </c>
      <c r="E3222" s="7">
        <f t="shared" si="50"/>
        <v>136.1</v>
      </c>
      <c r="F3222" s="8"/>
    </row>
    <row r="3223" spans="1:6" ht="18" customHeight="1">
      <c r="A3223" s="4" t="s">
        <v>108</v>
      </c>
      <c r="B3223" s="4" t="str">
        <f>"2020011025"</f>
        <v>2020011025</v>
      </c>
      <c r="C3223" s="5">
        <v>66.5</v>
      </c>
      <c r="D3223" s="6">
        <v>60</v>
      </c>
      <c r="E3223" s="7">
        <f t="shared" si="50"/>
        <v>126.5</v>
      </c>
      <c r="F3223" s="8"/>
    </row>
    <row r="3224" spans="1:6" ht="18" customHeight="1">
      <c r="A3224" s="4" t="s">
        <v>108</v>
      </c>
      <c r="B3224" s="4" t="str">
        <f>"2020032010"</f>
        <v>2020032010</v>
      </c>
      <c r="C3224" s="5">
        <v>63.3</v>
      </c>
      <c r="D3224" s="6">
        <v>63</v>
      </c>
      <c r="E3224" s="7">
        <f t="shared" si="50"/>
        <v>126.3</v>
      </c>
      <c r="F3224" s="8"/>
    </row>
    <row r="3225" spans="1:6" ht="18" customHeight="1">
      <c r="A3225" s="4" t="s">
        <v>108</v>
      </c>
      <c r="B3225" s="4" t="str">
        <f>"2020022604"</f>
        <v>2020022604</v>
      </c>
      <c r="C3225" s="5">
        <v>0</v>
      </c>
      <c r="D3225" s="6">
        <v>0</v>
      </c>
      <c r="E3225" s="7">
        <f t="shared" si="50"/>
        <v>0</v>
      </c>
      <c r="F3225" s="8" t="s">
        <v>8</v>
      </c>
    </row>
    <row r="3226" spans="1:6" ht="18" customHeight="1">
      <c r="A3226" s="4" t="s">
        <v>108</v>
      </c>
      <c r="B3226" s="4" t="str">
        <f>"2020043721"</f>
        <v>2020043721</v>
      </c>
      <c r="C3226" s="5">
        <v>0</v>
      </c>
      <c r="D3226" s="6">
        <v>0</v>
      </c>
      <c r="E3226" s="7">
        <f t="shared" si="50"/>
        <v>0</v>
      </c>
      <c r="F3226" s="8" t="s">
        <v>8</v>
      </c>
    </row>
    <row r="3227" spans="1:6" ht="18" customHeight="1">
      <c r="A3227" s="4" t="s">
        <v>108</v>
      </c>
      <c r="B3227" s="4" t="str">
        <f>"2020045817"</f>
        <v>2020045817</v>
      </c>
      <c r="C3227" s="5">
        <v>0</v>
      </c>
      <c r="D3227" s="6">
        <v>0</v>
      </c>
      <c r="E3227" s="7">
        <f t="shared" si="50"/>
        <v>0</v>
      </c>
      <c r="F3227" s="8" t="s">
        <v>8</v>
      </c>
    </row>
    <row r="3228" spans="1:6" ht="18" customHeight="1">
      <c r="A3228" s="4" t="s">
        <v>109</v>
      </c>
      <c r="B3228" s="4" t="str">
        <f>"2020023506"</f>
        <v>2020023506</v>
      </c>
      <c r="C3228" s="5">
        <v>65.5</v>
      </c>
      <c r="D3228" s="6">
        <v>81.5</v>
      </c>
      <c r="E3228" s="7">
        <f t="shared" si="50"/>
        <v>147</v>
      </c>
      <c r="F3228" s="8"/>
    </row>
    <row r="3229" spans="1:6" ht="18" customHeight="1">
      <c r="A3229" s="4" t="s">
        <v>109</v>
      </c>
      <c r="B3229" s="4" t="str">
        <f>"2020031805"</f>
        <v>2020031805</v>
      </c>
      <c r="C3229" s="5">
        <v>72</v>
      </c>
      <c r="D3229" s="6">
        <v>72.5</v>
      </c>
      <c r="E3229" s="7">
        <f t="shared" si="50"/>
        <v>144.5</v>
      </c>
      <c r="F3229" s="8"/>
    </row>
    <row r="3230" spans="1:6" ht="18" customHeight="1">
      <c r="A3230" s="4" t="s">
        <v>109</v>
      </c>
      <c r="B3230" s="4" t="str">
        <f>"2020041018"</f>
        <v>2020041018</v>
      </c>
      <c r="C3230" s="5">
        <v>71.900000000000006</v>
      </c>
      <c r="D3230" s="6">
        <v>72.5</v>
      </c>
      <c r="E3230" s="7">
        <f t="shared" si="50"/>
        <v>144.4</v>
      </c>
      <c r="F3230" s="8"/>
    </row>
    <row r="3231" spans="1:6" ht="18" customHeight="1">
      <c r="A3231" s="4" t="s">
        <v>109</v>
      </c>
      <c r="B3231" s="4" t="str">
        <f>"2020044628"</f>
        <v>2020044628</v>
      </c>
      <c r="C3231" s="5">
        <v>65.8</v>
      </c>
      <c r="D3231" s="6">
        <v>77.5</v>
      </c>
      <c r="E3231" s="7">
        <f t="shared" si="50"/>
        <v>143.30000000000001</v>
      </c>
      <c r="F3231" s="8"/>
    </row>
    <row r="3232" spans="1:6" ht="18" customHeight="1">
      <c r="A3232" s="4" t="s">
        <v>109</v>
      </c>
      <c r="B3232" s="4" t="str">
        <f>"2020011824"</f>
        <v>2020011824</v>
      </c>
      <c r="C3232" s="5">
        <v>66.7</v>
      </c>
      <c r="D3232" s="6">
        <v>70.5</v>
      </c>
      <c r="E3232" s="7">
        <f t="shared" si="50"/>
        <v>137.19999999999999</v>
      </c>
      <c r="F3232" s="8"/>
    </row>
    <row r="3233" spans="1:6" ht="18" customHeight="1">
      <c r="A3233" s="4" t="s">
        <v>109</v>
      </c>
      <c r="B3233" s="4" t="str">
        <f>"2020011115"</f>
        <v>2020011115</v>
      </c>
      <c r="C3233" s="5">
        <v>63.9</v>
      </c>
      <c r="D3233" s="6">
        <v>71</v>
      </c>
      <c r="E3233" s="7">
        <f t="shared" si="50"/>
        <v>134.9</v>
      </c>
      <c r="F3233" s="8"/>
    </row>
    <row r="3234" spans="1:6" ht="18" customHeight="1">
      <c r="A3234" s="4" t="s">
        <v>109</v>
      </c>
      <c r="B3234" s="4" t="str">
        <f>"2020033803"</f>
        <v>2020033803</v>
      </c>
      <c r="C3234" s="5">
        <v>65.099999999999994</v>
      </c>
      <c r="D3234" s="6">
        <v>65</v>
      </c>
      <c r="E3234" s="7">
        <f t="shared" si="50"/>
        <v>130.1</v>
      </c>
      <c r="F3234" s="8"/>
    </row>
    <row r="3235" spans="1:6" ht="18" customHeight="1">
      <c r="A3235" s="4" t="s">
        <v>109</v>
      </c>
      <c r="B3235" s="4" t="str">
        <f>"2020022119"</f>
        <v>2020022119</v>
      </c>
      <c r="C3235" s="5">
        <v>58.4</v>
      </c>
      <c r="D3235" s="6">
        <v>59.5</v>
      </c>
      <c r="E3235" s="7">
        <f t="shared" si="50"/>
        <v>117.9</v>
      </c>
      <c r="F3235" s="8"/>
    </row>
    <row r="3236" spans="1:6" ht="18" customHeight="1">
      <c r="A3236" s="4" t="s">
        <v>109</v>
      </c>
      <c r="B3236" s="4" t="str">
        <f>"2020041715"</f>
        <v>2020041715</v>
      </c>
      <c r="C3236" s="5">
        <v>53.7</v>
      </c>
      <c r="D3236" s="6">
        <v>61.5</v>
      </c>
      <c r="E3236" s="7">
        <f t="shared" si="50"/>
        <v>115.2</v>
      </c>
      <c r="F3236" s="8"/>
    </row>
    <row r="3237" spans="1:6" ht="18" customHeight="1">
      <c r="A3237" s="4" t="s">
        <v>109</v>
      </c>
      <c r="B3237" s="4" t="str">
        <f>"2020022111"</f>
        <v>2020022111</v>
      </c>
      <c r="C3237" s="5">
        <v>0</v>
      </c>
      <c r="D3237" s="6">
        <v>0</v>
      </c>
      <c r="E3237" s="7">
        <f t="shared" si="50"/>
        <v>0</v>
      </c>
      <c r="F3237" s="8" t="s">
        <v>8</v>
      </c>
    </row>
    <row r="3238" spans="1:6" ht="18" customHeight="1">
      <c r="A3238" s="4" t="s">
        <v>110</v>
      </c>
      <c r="B3238" s="4" t="str">
        <f>"2020047425"</f>
        <v>2020047425</v>
      </c>
      <c r="C3238" s="5">
        <v>75.7</v>
      </c>
      <c r="D3238" s="6">
        <v>84.5</v>
      </c>
      <c r="E3238" s="7">
        <f t="shared" si="50"/>
        <v>160.19999999999999</v>
      </c>
      <c r="F3238" s="8"/>
    </row>
    <row r="3239" spans="1:6" ht="18" customHeight="1">
      <c r="A3239" s="4" t="s">
        <v>110</v>
      </c>
      <c r="B3239" s="4" t="str">
        <f>"2020040828"</f>
        <v>2020040828</v>
      </c>
      <c r="C3239" s="5">
        <v>75</v>
      </c>
      <c r="D3239" s="6">
        <v>81.5</v>
      </c>
      <c r="E3239" s="7">
        <f t="shared" si="50"/>
        <v>156.5</v>
      </c>
      <c r="F3239" s="8"/>
    </row>
    <row r="3240" spans="1:6" ht="18" customHeight="1">
      <c r="A3240" s="4" t="s">
        <v>110</v>
      </c>
      <c r="B3240" s="4" t="str">
        <f>"2020012214"</f>
        <v>2020012214</v>
      </c>
      <c r="C3240" s="5">
        <v>73.099999999999994</v>
      </c>
      <c r="D3240" s="6">
        <v>78.5</v>
      </c>
      <c r="E3240" s="7">
        <f t="shared" si="50"/>
        <v>151.6</v>
      </c>
      <c r="F3240" s="8"/>
    </row>
    <row r="3241" spans="1:6" ht="18" customHeight="1">
      <c r="A3241" s="4" t="s">
        <v>110</v>
      </c>
      <c r="B3241" s="4" t="str">
        <f>"2020040418"</f>
        <v>2020040418</v>
      </c>
      <c r="C3241" s="5">
        <v>79</v>
      </c>
      <c r="D3241" s="6">
        <v>72.5</v>
      </c>
      <c r="E3241" s="7">
        <f t="shared" si="50"/>
        <v>151.5</v>
      </c>
      <c r="F3241" s="8"/>
    </row>
    <row r="3242" spans="1:6" ht="18" customHeight="1">
      <c r="A3242" s="4" t="s">
        <v>110</v>
      </c>
      <c r="B3242" s="4" t="str">
        <f>"2020047317"</f>
        <v>2020047317</v>
      </c>
      <c r="C3242" s="5">
        <v>78.5</v>
      </c>
      <c r="D3242" s="6">
        <v>73</v>
      </c>
      <c r="E3242" s="7">
        <f t="shared" si="50"/>
        <v>151.5</v>
      </c>
      <c r="F3242" s="8"/>
    </row>
    <row r="3243" spans="1:6" ht="18" customHeight="1">
      <c r="A3243" s="4" t="s">
        <v>110</v>
      </c>
      <c r="B3243" s="4" t="str">
        <f>"2020046202"</f>
        <v>2020046202</v>
      </c>
      <c r="C3243" s="5">
        <v>72.5</v>
      </c>
      <c r="D3243" s="6">
        <v>79</v>
      </c>
      <c r="E3243" s="7">
        <f t="shared" si="50"/>
        <v>151.5</v>
      </c>
      <c r="F3243" s="8"/>
    </row>
    <row r="3244" spans="1:6" ht="18" customHeight="1">
      <c r="A3244" s="4" t="s">
        <v>110</v>
      </c>
      <c r="B3244" s="4" t="str">
        <f>"2020021319"</f>
        <v>2020021319</v>
      </c>
      <c r="C3244" s="5">
        <v>68.7</v>
      </c>
      <c r="D3244" s="6">
        <v>82</v>
      </c>
      <c r="E3244" s="7">
        <f t="shared" si="50"/>
        <v>150.69999999999999</v>
      </c>
      <c r="F3244" s="8"/>
    </row>
    <row r="3245" spans="1:6" ht="18" customHeight="1">
      <c r="A3245" s="4" t="s">
        <v>110</v>
      </c>
      <c r="B3245" s="4" t="str">
        <f>"2020030101"</f>
        <v>2020030101</v>
      </c>
      <c r="C3245" s="5">
        <v>68.900000000000006</v>
      </c>
      <c r="D3245" s="6">
        <v>79.5</v>
      </c>
      <c r="E3245" s="7">
        <f t="shared" si="50"/>
        <v>148.4</v>
      </c>
      <c r="F3245" s="8"/>
    </row>
    <row r="3246" spans="1:6" ht="18" customHeight="1">
      <c r="A3246" s="4" t="s">
        <v>110</v>
      </c>
      <c r="B3246" s="4" t="str">
        <f>"2020024426"</f>
        <v>2020024426</v>
      </c>
      <c r="C3246" s="5">
        <v>72.3</v>
      </c>
      <c r="D3246" s="6">
        <v>75.5</v>
      </c>
      <c r="E3246" s="7">
        <f t="shared" si="50"/>
        <v>147.80000000000001</v>
      </c>
      <c r="F3246" s="8"/>
    </row>
    <row r="3247" spans="1:6" ht="18" customHeight="1">
      <c r="A3247" s="4" t="s">
        <v>110</v>
      </c>
      <c r="B3247" s="4" t="str">
        <f>"2020012005"</f>
        <v>2020012005</v>
      </c>
      <c r="C3247" s="5">
        <v>73</v>
      </c>
      <c r="D3247" s="6">
        <v>73.5</v>
      </c>
      <c r="E3247" s="7">
        <f t="shared" si="50"/>
        <v>146.5</v>
      </c>
      <c r="F3247" s="8"/>
    </row>
    <row r="3248" spans="1:6" ht="18" customHeight="1">
      <c r="A3248" s="4" t="s">
        <v>110</v>
      </c>
      <c r="B3248" s="4" t="str">
        <f>"2020046228"</f>
        <v>2020046228</v>
      </c>
      <c r="C3248" s="5">
        <v>64.599999999999994</v>
      </c>
      <c r="D3248" s="6">
        <v>81.5</v>
      </c>
      <c r="E3248" s="7">
        <f t="shared" si="50"/>
        <v>146.1</v>
      </c>
      <c r="F3248" s="8"/>
    </row>
    <row r="3249" spans="1:6" ht="18" customHeight="1">
      <c r="A3249" s="4" t="s">
        <v>110</v>
      </c>
      <c r="B3249" s="4" t="str">
        <f>"2020010412"</f>
        <v>2020010412</v>
      </c>
      <c r="C3249" s="5">
        <v>78.599999999999994</v>
      </c>
      <c r="D3249" s="6">
        <v>65.5</v>
      </c>
      <c r="E3249" s="7">
        <f t="shared" si="50"/>
        <v>144.1</v>
      </c>
      <c r="F3249" s="8"/>
    </row>
    <row r="3250" spans="1:6" ht="18" customHeight="1">
      <c r="A3250" s="4" t="s">
        <v>110</v>
      </c>
      <c r="B3250" s="4" t="str">
        <f>"2020011324"</f>
        <v>2020011324</v>
      </c>
      <c r="C3250" s="5">
        <v>67.599999999999994</v>
      </c>
      <c r="D3250" s="6">
        <v>76.5</v>
      </c>
      <c r="E3250" s="7">
        <f t="shared" si="50"/>
        <v>144.1</v>
      </c>
      <c r="F3250" s="8"/>
    </row>
    <row r="3251" spans="1:6" ht="18" customHeight="1">
      <c r="A3251" s="4" t="s">
        <v>110</v>
      </c>
      <c r="B3251" s="4" t="str">
        <f>"2020010904"</f>
        <v>2020010904</v>
      </c>
      <c r="C3251" s="5">
        <v>72.900000000000006</v>
      </c>
      <c r="D3251" s="6">
        <v>70.5</v>
      </c>
      <c r="E3251" s="7">
        <f t="shared" si="50"/>
        <v>143.4</v>
      </c>
      <c r="F3251" s="8"/>
    </row>
    <row r="3252" spans="1:6" ht="18" customHeight="1">
      <c r="A3252" s="4" t="s">
        <v>110</v>
      </c>
      <c r="B3252" s="4" t="str">
        <f>"2020030918"</f>
        <v>2020030918</v>
      </c>
      <c r="C3252" s="5">
        <v>68.900000000000006</v>
      </c>
      <c r="D3252" s="6">
        <v>74</v>
      </c>
      <c r="E3252" s="7">
        <f t="shared" si="50"/>
        <v>142.9</v>
      </c>
      <c r="F3252" s="8"/>
    </row>
    <row r="3253" spans="1:6" ht="18" customHeight="1">
      <c r="A3253" s="4" t="s">
        <v>110</v>
      </c>
      <c r="B3253" s="4" t="str">
        <f>"2020024215"</f>
        <v>2020024215</v>
      </c>
      <c r="C3253" s="5">
        <v>65.900000000000006</v>
      </c>
      <c r="D3253" s="6">
        <v>77</v>
      </c>
      <c r="E3253" s="7">
        <f t="shared" si="50"/>
        <v>142.9</v>
      </c>
      <c r="F3253" s="8"/>
    </row>
    <row r="3254" spans="1:6" ht="18" customHeight="1">
      <c r="A3254" s="4" t="s">
        <v>110</v>
      </c>
      <c r="B3254" s="4" t="str">
        <f>"2020021217"</f>
        <v>2020021217</v>
      </c>
      <c r="C3254" s="5">
        <v>70.900000000000006</v>
      </c>
      <c r="D3254" s="6">
        <v>70.5</v>
      </c>
      <c r="E3254" s="7">
        <f t="shared" si="50"/>
        <v>141.4</v>
      </c>
      <c r="F3254" s="8"/>
    </row>
    <row r="3255" spans="1:6" ht="18" customHeight="1">
      <c r="A3255" s="4" t="s">
        <v>110</v>
      </c>
      <c r="B3255" s="4" t="str">
        <f>"2020043114"</f>
        <v>2020043114</v>
      </c>
      <c r="C3255" s="5">
        <v>66.900000000000006</v>
      </c>
      <c r="D3255" s="6">
        <v>74.5</v>
      </c>
      <c r="E3255" s="7">
        <f t="shared" si="50"/>
        <v>141.4</v>
      </c>
      <c r="F3255" s="8"/>
    </row>
    <row r="3256" spans="1:6" ht="18" customHeight="1">
      <c r="A3256" s="4" t="s">
        <v>110</v>
      </c>
      <c r="B3256" s="4" t="str">
        <f>"2020044426"</f>
        <v>2020044426</v>
      </c>
      <c r="C3256" s="5">
        <v>75.5</v>
      </c>
      <c r="D3256" s="6">
        <v>65.5</v>
      </c>
      <c r="E3256" s="7">
        <f t="shared" si="50"/>
        <v>141</v>
      </c>
      <c r="F3256" s="8"/>
    </row>
    <row r="3257" spans="1:6" ht="18" customHeight="1">
      <c r="A3257" s="4" t="s">
        <v>110</v>
      </c>
      <c r="B3257" s="4" t="str">
        <f>"2020013702"</f>
        <v>2020013702</v>
      </c>
      <c r="C3257" s="5">
        <v>68.5</v>
      </c>
      <c r="D3257" s="6">
        <v>72.5</v>
      </c>
      <c r="E3257" s="7">
        <f t="shared" si="50"/>
        <v>141</v>
      </c>
      <c r="F3257" s="8"/>
    </row>
    <row r="3258" spans="1:6" ht="18" customHeight="1">
      <c r="A3258" s="4" t="s">
        <v>110</v>
      </c>
      <c r="B3258" s="4" t="str">
        <f>"2020041810"</f>
        <v>2020041810</v>
      </c>
      <c r="C3258" s="5">
        <v>66.5</v>
      </c>
      <c r="D3258" s="6">
        <v>74.5</v>
      </c>
      <c r="E3258" s="7">
        <f t="shared" si="50"/>
        <v>141</v>
      </c>
      <c r="F3258" s="8"/>
    </row>
    <row r="3259" spans="1:6" ht="18" customHeight="1">
      <c r="A3259" s="4" t="s">
        <v>110</v>
      </c>
      <c r="B3259" s="4" t="str">
        <f>"2020033503"</f>
        <v>2020033503</v>
      </c>
      <c r="C3259" s="5">
        <v>72.3</v>
      </c>
      <c r="D3259" s="6">
        <v>68.5</v>
      </c>
      <c r="E3259" s="7">
        <f t="shared" si="50"/>
        <v>140.80000000000001</v>
      </c>
      <c r="F3259" s="8"/>
    </row>
    <row r="3260" spans="1:6" ht="18" customHeight="1">
      <c r="A3260" s="4" t="s">
        <v>110</v>
      </c>
      <c r="B3260" s="4" t="str">
        <f>"2020013620"</f>
        <v>2020013620</v>
      </c>
      <c r="C3260" s="5">
        <v>66.099999999999994</v>
      </c>
      <c r="D3260" s="6">
        <v>74.5</v>
      </c>
      <c r="E3260" s="7">
        <f t="shared" si="50"/>
        <v>140.6</v>
      </c>
      <c r="F3260" s="8"/>
    </row>
    <row r="3261" spans="1:6" ht="18" customHeight="1">
      <c r="A3261" s="4" t="s">
        <v>110</v>
      </c>
      <c r="B3261" s="4" t="str">
        <f>"2020023225"</f>
        <v>2020023225</v>
      </c>
      <c r="C3261" s="5">
        <v>64.099999999999994</v>
      </c>
      <c r="D3261" s="6">
        <v>76.5</v>
      </c>
      <c r="E3261" s="7">
        <f t="shared" si="50"/>
        <v>140.6</v>
      </c>
      <c r="F3261" s="8"/>
    </row>
    <row r="3262" spans="1:6" ht="18" customHeight="1">
      <c r="A3262" s="4" t="s">
        <v>110</v>
      </c>
      <c r="B3262" s="4" t="str">
        <f>"2020046206"</f>
        <v>2020046206</v>
      </c>
      <c r="C3262" s="5">
        <v>69.8</v>
      </c>
      <c r="D3262" s="6">
        <v>70.5</v>
      </c>
      <c r="E3262" s="7">
        <f t="shared" si="50"/>
        <v>140.30000000000001</v>
      </c>
      <c r="F3262" s="8"/>
    </row>
    <row r="3263" spans="1:6" ht="18" customHeight="1">
      <c r="A3263" s="4" t="s">
        <v>110</v>
      </c>
      <c r="B3263" s="4" t="str">
        <f>"2020023224"</f>
        <v>2020023224</v>
      </c>
      <c r="C3263" s="5">
        <v>69.3</v>
      </c>
      <c r="D3263" s="6">
        <v>71</v>
      </c>
      <c r="E3263" s="7">
        <f t="shared" si="50"/>
        <v>140.30000000000001</v>
      </c>
      <c r="F3263" s="8"/>
    </row>
    <row r="3264" spans="1:6" ht="18" customHeight="1">
      <c r="A3264" s="4" t="s">
        <v>110</v>
      </c>
      <c r="B3264" s="4" t="str">
        <f>"2020013713"</f>
        <v>2020013713</v>
      </c>
      <c r="C3264" s="5">
        <v>65.7</v>
      </c>
      <c r="D3264" s="6">
        <v>74.5</v>
      </c>
      <c r="E3264" s="7">
        <f t="shared" si="50"/>
        <v>140.19999999999999</v>
      </c>
      <c r="F3264" s="8"/>
    </row>
    <row r="3265" spans="1:6" ht="18" customHeight="1">
      <c r="A3265" s="4" t="s">
        <v>110</v>
      </c>
      <c r="B3265" s="4" t="str">
        <f>"2020040522"</f>
        <v>2020040522</v>
      </c>
      <c r="C3265" s="5">
        <v>66.400000000000006</v>
      </c>
      <c r="D3265" s="6">
        <v>73.5</v>
      </c>
      <c r="E3265" s="7">
        <f t="shared" si="50"/>
        <v>139.9</v>
      </c>
      <c r="F3265" s="8"/>
    </row>
    <row r="3266" spans="1:6" ht="18" customHeight="1">
      <c r="A3266" s="4" t="s">
        <v>110</v>
      </c>
      <c r="B3266" s="4" t="str">
        <f>"2020020517"</f>
        <v>2020020517</v>
      </c>
      <c r="C3266" s="5">
        <v>69.7</v>
      </c>
      <c r="D3266" s="6">
        <v>69.5</v>
      </c>
      <c r="E3266" s="7">
        <f t="shared" si="50"/>
        <v>139.19999999999999</v>
      </c>
      <c r="F3266" s="8"/>
    </row>
    <row r="3267" spans="1:6" ht="18" customHeight="1">
      <c r="A3267" s="4" t="s">
        <v>110</v>
      </c>
      <c r="B3267" s="4" t="str">
        <f>"2020012119"</f>
        <v>2020012119</v>
      </c>
      <c r="C3267" s="5">
        <v>70.400000000000006</v>
      </c>
      <c r="D3267" s="6">
        <v>67.5</v>
      </c>
      <c r="E3267" s="7">
        <f t="shared" ref="E3267:E3330" si="51">SUM(C3267:D3267)</f>
        <v>137.9</v>
      </c>
      <c r="F3267" s="8"/>
    </row>
    <row r="3268" spans="1:6" ht="18" customHeight="1">
      <c r="A3268" s="4" t="s">
        <v>110</v>
      </c>
      <c r="B3268" s="4" t="str">
        <f>"2020032708"</f>
        <v>2020032708</v>
      </c>
      <c r="C3268" s="5">
        <v>57.1</v>
      </c>
      <c r="D3268" s="6">
        <v>80.5</v>
      </c>
      <c r="E3268" s="7">
        <f t="shared" si="51"/>
        <v>137.6</v>
      </c>
      <c r="F3268" s="8"/>
    </row>
    <row r="3269" spans="1:6" ht="18" customHeight="1">
      <c r="A3269" s="4" t="s">
        <v>110</v>
      </c>
      <c r="B3269" s="4" t="str">
        <f>"2020010506"</f>
        <v>2020010506</v>
      </c>
      <c r="C3269" s="5">
        <v>71.2</v>
      </c>
      <c r="D3269" s="6">
        <v>66</v>
      </c>
      <c r="E3269" s="7">
        <f t="shared" si="51"/>
        <v>137.19999999999999</v>
      </c>
      <c r="F3269" s="8"/>
    </row>
    <row r="3270" spans="1:6" ht="18" customHeight="1">
      <c r="A3270" s="4" t="s">
        <v>110</v>
      </c>
      <c r="B3270" s="4" t="str">
        <f>"2020041923"</f>
        <v>2020041923</v>
      </c>
      <c r="C3270" s="5">
        <v>74.099999999999994</v>
      </c>
      <c r="D3270" s="6">
        <v>62.5</v>
      </c>
      <c r="E3270" s="7">
        <f t="shared" si="51"/>
        <v>136.6</v>
      </c>
      <c r="F3270" s="8"/>
    </row>
    <row r="3271" spans="1:6" ht="18" customHeight="1">
      <c r="A3271" s="4" t="s">
        <v>110</v>
      </c>
      <c r="B3271" s="4" t="str">
        <f>"2020044621"</f>
        <v>2020044621</v>
      </c>
      <c r="C3271" s="5">
        <v>68</v>
      </c>
      <c r="D3271" s="6">
        <v>68</v>
      </c>
      <c r="E3271" s="7">
        <f t="shared" si="51"/>
        <v>136</v>
      </c>
      <c r="F3271" s="8"/>
    </row>
    <row r="3272" spans="1:6" ht="18" customHeight="1">
      <c r="A3272" s="4" t="s">
        <v>110</v>
      </c>
      <c r="B3272" s="4" t="str">
        <f>"2020023905"</f>
        <v>2020023905</v>
      </c>
      <c r="C3272" s="5">
        <v>72.900000000000006</v>
      </c>
      <c r="D3272" s="6">
        <v>63</v>
      </c>
      <c r="E3272" s="7">
        <f t="shared" si="51"/>
        <v>135.9</v>
      </c>
      <c r="F3272" s="8"/>
    </row>
    <row r="3273" spans="1:6" ht="18" customHeight="1">
      <c r="A3273" s="4" t="s">
        <v>110</v>
      </c>
      <c r="B3273" s="4" t="str">
        <f>"2020045510"</f>
        <v>2020045510</v>
      </c>
      <c r="C3273" s="5">
        <v>64.599999999999994</v>
      </c>
      <c r="D3273" s="6">
        <v>71</v>
      </c>
      <c r="E3273" s="7">
        <f t="shared" si="51"/>
        <v>135.6</v>
      </c>
      <c r="F3273" s="8"/>
    </row>
    <row r="3274" spans="1:6" ht="18" customHeight="1">
      <c r="A3274" s="4" t="s">
        <v>110</v>
      </c>
      <c r="B3274" s="4" t="str">
        <f>"2020040926"</f>
        <v>2020040926</v>
      </c>
      <c r="C3274" s="5">
        <v>70</v>
      </c>
      <c r="D3274" s="6">
        <v>65.5</v>
      </c>
      <c r="E3274" s="7">
        <f t="shared" si="51"/>
        <v>135.5</v>
      </c>
      <c r="F3274" s="8"/>
    </row>
    <row r="3275" spans="1:6" ht="18" customHeight="1">
      <c r="A3275" s="4" t="s">
        <v>110</v>
      </c>
      <c r="B3275" s="4" t="str">
        <f>"2020042006"</f>
        <v>2020042006</v>
      </c>
      <c r="C3275" s="5">
        <v>70.400000000000006</v>
      </c>
      <c r="D3275" s="6">
        <v>64.5</v>
      </c>
      <c r="E3275" s="7">
        <f t="shared" si="51"/>
        <v>134.9</v>
      </c>
      <c r="F3275" s="8"/>
    </row>
    <row r="3276" spans="1:6" ht="18" customHeight="1">
      <c r="A3276" s="4" t="s">
        <v>110</v>
      </c>
      <c r="B3276" s="4" t="str">
        <f>"2020032812"</f>
        <v>2020032812</v>
      </c>
      <c r="C3276" s="5">
        <v>70.900000000000006</v>
      </c>
      <c r="D3276" s="6">
        <v>63.5</v>
      </c>
      <c r="E3276" s="7">
        <f t="shared" si="51"/>
        <v>134.4</v>
      </c>
      <c r="F3276" s="8"/>
    </row>
    <row r="3277" spans="1:6" ht="18" customHeight="1">
      <c r="A3277" s="4" t="s">
        <v>110</v>
      </c>
      <c r="B3277" s="4" t="str">
        <f>"2020020525"</f>
        <v>2020020525</v>
      </c>
      <c r="C3277" s="5">
        <v>67.3</v>
      </c>
      <c r="D3277" s="6">
        <v>66.5</v>
      </c>
      <c r="E3277" s="7">
        <f t="shared" si="51"/>
        <v>133.80000000000001</v>
      </c>
      <c r="F3277" s="8"/>
    </row>
    <row r="3278" spans="1:6" ht="18" customHeight="1">
      <c r="A3278" s="4" t="s">
        <v>110</v>
      </c>
      <c r="B3278" s="4" t="str">
        <f>"2020044809"</f>
        <v>2020044809</v>
      </c>
      <c r="C3278" s="5">
        <v>61.5</v>
      </c>
      <c r="D3278" s="6">
        <v>72</v>
      </c>
      <c r="E3278" s="7">
        <f t="shared" si="51"/>
        <v>133.5</v>
      </c>
      <c r="F3278" s="8"/>
    </row>
    <row r="3279" spans="1:6" ht="18" customHeight="1">
      <c r="A3279" s="4" t="s">
        <v>110</v>
      </c>
      <c r="B3279" s="4" t="str">
        <f>"2020046614"</f>
        <v>2020046614</v>
      </c>
      <c r="C3279" s="5">
        <v>68.7</v>
      </c>
      <c r="D3279" s="6">
        <v>64.5</v>
      </c>
      <c r="E3279" s="7">
        <f t="shared" si="51"/>
        <v>133.19999999999999</v>
      </c>
      <c r="F3279" s="8"/>
    </row>
    <row r="3280" spans="1:6" ht="18" customHeight="1">
      <c r="A3280" s="4" t="s">
        <v>110</v>
      </c>
      <c r="B3280" s="4" t="str">
        <f>"2020023511"</f>
        <v>2020023511</v>
      </c>
      <c r="C3280" s="5">
        <v>59.7</v>
      </c>
      <c r="D3280" s="6">
        <v>72</v>
      </c>
      <c r="E3280" s="7">
        <f t="shared" si="51"/>
        <v>131.69999999999999</v>
      </c>
      <c r="F3280" s="8"/>
    </row>
    <row r="3281" spans="1:6" ht="18" customHeight="1">
      <c r="A3281" s="4" t="s">
        <v>110</v>
      </c>
      <c r="B3281" s="4" t="str">
        <f>"2020043103"</f>
        <v>2020043103</v>
      </c>
      <c r="C3281" s="5">
        <v>69.5</v>
      </c>
      <c r="D3281" s="6">
        <v>61.5</v>
      </c>
      <c r="E3281" s="7">
        <f t="shared" si="51"/>
        <v>131</v>
      </c>
      <c r="F3281" s="8"/>
    </row>
    <row r="3282" spans="1:6" ht="18" customHeight="1">
      <c r="A3282" s="4" t="s">
        <v>110</v>
      </c>
      <c r="B3282" s="4" t="str">
        <f>"2020024506"</f>
        <v>2020024506</v>
      </c>
      <c r="C3282" s="5">
        <v>70.400000000000006</v>
      </c>
      <c r="D3282" s="6">
        <v>60</v>
      </c>
      <c r="E3282" s="7">
        <f t="shared" si="51"/>
        <v>130.4</v>
      </c>
      <c r="F3282" s="8"/>
    </row>
    <row r="3283" spans="1:6" ht="18" customHeight="1">
      <c r="A3283" s="4" t="s">
        <v>110</v>
      </c>
      <c r="B3283" s="4" t="str">
        <f>"2020022830"</f>
        <v>2020022830</v>
      </c>
      <c r="C3283" s="5">
        <v>66.7</v>
      </c>
      <c r="D3283" s="6">
        <v>63.5</v>
      </c>
      <c r="E3283" s="7">
        <f t="shared" si="51"/>
        <v>130.19999999999999</v>
      </c>
      <c r="F3283" s="8"/>
    </row>
    <row r="3284" spans="1:6" ht="18" customHeight="1">
      <c r="A3284" s="4" t="s">
        <v>110</v>
      </c>
      <c r="B3284" s="4" t="str">
        <f>"2020044430"</f>
        <v>2020044430</v>
      </c>
      <c r="C3284" s="5">
        <v>60.5</v>
      </c>
      <c r="D3284" s="6">
        <v>69.5</v>
      </c>
      <c r="E3284" s="7">
        <f t="shared" si="51"/>
        <v>130</v>
      </c>
      <c r="F3284" s="8"/>
    </row>
    <row r="3285" spans="1:6" ht="18" customHeight="1">
      <c r="A3285" s="4" t="s">
        <v>110</v>
      </c>
      <c r="B3285" s="4" t="str">
        <f>"2020011117"</f>
        <v>2020011117</v>
      </c>
      <c r="C3285" s="5">
        <v>68.3</v>
      </c>
      <c r="D3285" s="6">
        <v>61.5</v>
      </c>
      <c r="E3285" s="7">
        <f t="shared" si="51"/>
        <v>129.80000000000001</v>
      </c>
      <c r="F3285" s="8"/>
    </row>
    <row r="3286" spans="1:6" ht="18" customHeight="1">
      <c r="A3286" s="4" t="s">
        <v>110</v>
      </c>
      <c r="B3286" s="4" t="str">
        <f>"2020043623"</f>
        <v>2020043623</v>
      </c>
      <c r="C3286" s="5">
        <v>59.6</v>
      </c>
      <c r="D3286" s="6">
        <v>70</v>
      </c>
      <c r="E3286" s="7">
        <f t="shared" si="51"/>
        <v>129.6</v>
      </c>
      <c r="F3286" s="8"/>
    </row>
    <row r="3287" spans="1:6" ht="18" customHeight="1">
      <c r="A3287" s="4" t="s">
        <v>110</v>
      </c>
      <c r="B3287" s="4" t="str">
        <f>"2020040705"</f>
        <v>2020040705</v>
      </c>
      <c r="C3287" s="5">
        <v>63.6</v>
      </c>
      <c r="D3287" s="6">
        <v>65.5</v>
      </c>
      <c r="E3287" s="7">
        <f t="shared" si="51"/>
        <v>129.1</v>
      </c>
      <c r="F3287" s="8"/>
    </row>
    <row r="3288" spans="1:6" ht="18" customHeight="1">
      <c r="A3288" s="4" t="s">
        <v>110</v>
      </c>
      <c r="B3288" s="4" t="str">
        <f>"2020023324"</f>
        <v>2020023324</v>
      </c>
      <c r="C3288" s="5">
        <v>62.5</v>
      </c>
      <c r="D3288" s="6">
        <v>66.5</v>
      </c>
      <c r="E3288" s="7">
        <f t="shared" si="51"/>
        <v>129</v>
      </c>
      <c r="F3288" s="8"/>
    </row>
    <row r="3289" spans="1:6" ht="18" customHeight="1">
      <c r="A3289" s="4" t="s">
        <v>110</v>
      </c>
      <c r="B3289" s="4" t="str">
        <f>"2020012428"</f>
        <v>2020012428</v>
      </c>
      <c r="C3289" s="5">
        <v>65.400000000000006</v>
      </c>
      <c r="D3289" s="6">
        <v>63.5</v>
      </c>
      <c r="E3289" s="7">
        <f t="shared" si="51"/>
        <v>128.9</v>
      </c>
      <c r="F3289" s="8"/>
    </row>
    <row r="3290" spans="1:6" ht="18" customHeight="1">
      <c r="A3290" s="4" t="s">
        <v>110</v>
      </c>
      <c r="B3290" s="4" t="str">
        <f>"2020021418"</f>
        <v>2020021418</v>
      </c>
      <c r="C3290" s="5">
        <v>66.8</v>
      </c>
      <c r="D3290" s="6">
        <v>62</v>
      </c>
      <c r="E3290" s="7">
        <f t="shared" si="51"/>
        <v>128.80000000000001</v>
      </c>
      <c r="F3290" s="8"/>
    </row>
    <row r="3291" spans="1:6" ht="18" customHeight="1">
      <c r="A3291" s="4" t="s">
        <v>110</v>
      </c>
      <c r="B3291" s="4" t="str">
        <f>"2020042318"</f>
        <v>2020042318</v>
      </c>
      <c r="C3291" s="5">
        <v>63.1</v>
      </c>
      <c r="D3291" s="6">
        <v>65.5</v>
      </c>
      <c r="E3291" s="7">
        <f t="shared" si="51"/>
        <v>128.6</v>
      </c>
      <c r="F3291" s="8"/>
    </row>
    <row r="3292" spans="1:6" ht="18" customHeight="1">
      <c r="A3292" s="4" t="s">
        <v>110</v>
      </c>
      <c r="B3292" s="4" t="str">
        <f>"2020022415"</f>
        <v>2020022415</v>
      </c>
      <c r="C3292" s="5">
        <v>64.3</v>
      </c>
      <c r="D3292" s="6">
        <v>64</v>
      </c>
      <c r="E3292" s="7">
        <f t="shared" si="51"/>
        <v>128.30000000000001</v>
      </c>
      <c r="F3292" s="8"/>
    </row>
    <row r="3293" spans="1:6" ht="18" customHeight="1">
      <c r="A3293" s="4" t="s">
        <v>110</v>
      </c>
      <c r="B3293" s="4" t="str">
        <f>"2020040511"</f>
        <v>2020040511</v>
      </c>
      <c r="C3293" s="5">
        <v>65.2</v>
      </c>
      <c r="D3293" s="6">
        <v>62.5</v>
      </c>
      <c r="E3293" s="7">
        <f t="shared" si="51"/>
        <v>127.7</v>
      </c>
      <c r="F3293" s="8"/>
    </row>
    <row r="3294" spans="1:6" ht="18" customHeight="1">
      <c r="A3294" s="4" t="s">
        <v>110</v>
      </c>
      <c r="B3294" s="4" t="str">
        <f>"2020012315"</f>
        <v>2020012315</v>
      </c>
      <c r="C3294" s="5">
        <v>68.7</v>
      </c>
      <c r="D3294" s="6">
        <v>58</v>
      </c>
      <c r="E3294" s="7">
        <f t="shared" si="51"/>
        <v>126.7</v>
      </c>
      <c r="F3294" s="8"/>
    </row>
    <row r="3295" spans="1:6" ht="18" customHeight="1">
      <c r="A3295" s="4" t="s">
        <v>110</v>
      </c>
      <c r="B3295" s="4" t="str">
        <f>"2020030317"</f>
        <v>2020030317</v>
      </c>
      <c r="C3295" s="5">
        <v>64.099999999999994</v>
      </c>
      <c r="D3295" s="6">
        <v>62.5</v>
      </c>
      <c r="E3295" s="7">
        <f t="shared" si="51"/>
        <v>126.6</v>
      </c>
      <c r="F3295" s="8"/>
    </row>
    <row r="3296" spans="1:6" ht="18" customHeight="1">
      <c r="A3296" s="4" t="s">
        <v>110</v>
      </c>
      <c r="B3296" s="4" t="str">
        <f>"2020043702"</f>
        <v>2020043702</v>
      </c>
      <c r="C3296" s="5">
        <v>62.3</v>
      </c>
      <c r="D3296" s="6">
        <v>63.5</v>
      </c>
      <c r="E3296" s="7">
        <f t="shared" si="51"/>
        <v>125.8</v>
      </c>
      <c r="F3296" s="8"/>
    </row>
    <row r="3297" spans="1:6" ht="18" customHeight="1">
      <c r="A3297" s="4" t="s">
        <v>110</v>
      </c>
      <c r="B3297" s="4" t="str">
        <f>"2020044819"</f>
        <v>2020044819</v>
      </c>
      <c r="C3297" s="5">
        <v>73.8</v>
      </c>
      <c r="D3297" s="6">
        <v>50.5</v>
      </c>
      <c r="E3297" s="7">
        <f t="shared" si="51"/>
        <v>124.3</v>
      </c>
      <c r="F3297" s="8"/>
    </row>
    <row r="3298" spans="1:6" ht="18" customHeight="1">
      <c r="A3298" s="4" t="s">
        <v>110</v>
      </c>
      <c r="B3298" s="4" t="str">
        <f>"2020013517"</f>
        <v>2020013517</v>
      </c>
      <c r="C3298" s="5">
        <v>69.400000000000006</v>
      </c>
      <c r="D3298" s="6">
        <v>54.5</v>
      </c>
      <c r="E3298" s="7">
        <f t="shared" si="51"/>
        <v>123.9</v>
      </c>
      <c r="F3298" s="8"/>
    </row>
    <row r="3299" spans="1:6" ht="18" customHeight="1">
      <c r="A3299" s="4" t="s">
        <v>110</v>
      </c>
      <c r="B3299" s="4" t="str">
        <f>"2020042910"</f>
        <v>2020042910</v>
      </c>
      <c r="C3299" s="5">
        <v>61.5</v>
      </c>
      <c r="D3299" s="6">
        <v>61.5</v>
      </c>
      <c r="E3299" s="7">
        <f t="shared" si="51"/>
        <v>123</v>
      </c>
      <c r="F3299" s="8"/>
    </row>
    <row r="3300" spans="1:6" ht="18" customHeight="1">
      <c r="A3300" s="4" t="s">
        <v>110</v>
      </c>
      <c r="B3300" s="4" t="str">
        <f>"2020032804"</f>
        <v>2020032804</v>
      </c>
      <c r="C3300" s="5">
        <v>58.9</v>
      </c>
      <c r="D3300" s="6">
        <v>63.5</v>
      </c>
      <c r="E3300" s="7">
        <f t="shared" si="51"/>
        <v>122.4</v>
      </c>
      <c r="F3300" s="8"/>
    </row>
    <row r="3301" spans="1:6" ht="18" customHeight="1">
      <c r="A3301" s="4" t="s">
        <v>110</v>
      </c>
      <c r="B3301" s="4" t="str">
        <f>"2020031412"</f>
        <v>2020031412</v>
      </c>
      <c r="C3301" s="5">
        <v>62.3</v>
      </c>
      <c r="D3301" s="6">
        <v>60</v>
      </c>
      <c r="E3301" s="7">
        <f t="shared" si="51"/>
        <v>122.3</v>
      </c>
      <c r="F3301" s="8"/>
    </row>
    <row r="3302" spans="1:6" ht="18" customHeight="1">
      <c r="A3302" s="4" t="s">
        <v>110</v>
      </c>
      <c r="B3302" s="4" t="str">
        <f>"2020030201"</f>
        <v>2020030201</v>
      </c>
      <c r="C3302" s="5">
        <v>69.7</v>
      </c>
      <c r="D3302" s="6">
        <v>52.5</v>
      </c>
      <c r="E3302" s="7">
        <f t="shared" si="51"/>
        <v>122.2</v>
      </c>
      <c r="F3302" s="8"/>
    </row>
    <row r="3303" spans="1:6" ht="18" customHeight="1">
      <c r="A3303" s="4" t="s">
        <v>110</v>
      </c>
      <c r="B3303" s="4" t="str">
        <f>"2020042105"</f>
        <v>2020042105</v>
      </c>
      <c r="C3303" s="5">
        <v>60.7</v>
      </c>
      <c r="D3303" s="6">
        <v>61</v>
      </c>
      <c r="E3303" s="7">
        <f t="shared" si="51"/>
        <v>121.7</v>
      </c>
      <c r="F3303" s="8"/>
    </row>
    <row r="3304" spans="1:6" ht="18" customHeight="1">
      <c r="A3304" s="4" t="s">
        <v>110</v>
      </c>
      <c r="B3304" s="4" t="str">
        <f>"2020021718"</f>
        <v>2020021718</v>
      </c>
      <c r="C3304" s="5">
        <v>59.1</v>
      </c>
      <c r="D3304" s="6">
        <v>62.5</v>
      </c>
      <c r="E3304" s="7">
        <f t="shared" si="51"/>
        <v>121.6</v>
      </c>
      <c r="F3304" s="8"/>
    </row>
    <row r="3305" spans="1:6" ht="18" customHeight="1">
      <c r="A3305" s="4" t="s">
        <v>110</v>
      </c>
      <c r="B3305" s="4" t="str">
        <f>"2020043017"</f>
        <v>2020043017</v>
      </c>
      <c r="C3305" s="5">
        <v>60.2</v>
      </c>
      <c r="D3305" s="6">
        <v>60</v>
      </c>
      <c r="E3305" s="7">
        <f t="shared" si="51"/>
        <v>120.2</v>
      </c>
      <c r="F3305" s="8"/>
    </row>
    <row r="3306" spans="1:6" ht="18" customHeight="1">
      <c r="A3306" s="4" t="s">
        <v>110</v>
      </c>
      <c r="B3306" s="4" t="str">
        <f>"2020022206"</f>
        <v>2020022206</v>
      </c>
      <c r="C3306" s="5">
        <v>57.2</v>
      </c>
      <c r="D3306" s="6">
        <v>62.5</v>
      </c>
      <c r="E3306" s="7">
        <f t="shared" si="51"/>
        <v>119.7</v>
      </c>
      <c r="F3306" s="8"/>
    </row>
    <row r="3307" spans="1:6" ht="18" customHeight="1">
      <c r="A3307" s="4" t="s">
        <v>110</v>
      </c>
      <c r="B3307" s="4" t="str">
        <f>"2020032919"</f>
        <v>2020032919</v>
      </c>
      <c r="C3307" s="5">
        <v>60.2</v>
      </c>
      <c r="D3307" s="6">
        <v>59</v>
      </c>
      <c r="E3307" s="7">
        <f t="shared" si="51"/>
        <v>119.2</v>
      </c>
      <c r="F3307" s="8"/>
    </row>
    <row r="3308" spans="1:6" ht="18" customHeight="1">
      <c r="A3308" s="4" t="s">
        <v>110</v>
      </c>
      <c r="B3308" s="4" t="str">
        <f>"2020046913"</f>
        <v>2020046913</v>
      </c>
      <c r="C3308" s="5">
        <v>60.4</v>
      </c>
      <c r="D3308" s="6">
        <v>57</v>
      </c>
      <c r="E3308" s="7">
        <f t="shared" si="51"/>
        <v>117.4</v>
      </c>
      <c r="F3308" s="8"/>
    </row>
    <row r="3309" spans="1:6" ht="18" customHeight="1">
      <c r="A3309" s="4" t="s">
        <v>110</v>
      </c>
      <c r="B3309" s="4" t="str">
        <f>"2020046525"</f>
        <v>2020046525</v>
      </c>
      <c r="C3309" s="5">
        <v>59</v>
      </c>
      <c r="D3309" s="6">
        <v>58</v>
      </c>
      <c r="E3309" s="7">
        <f t="shared" si="51"/>
        <v>117</v>
      </c>
      <c r="F3309" s="8"/>
    </row>
    <row r="3310" spans="1:6" ht="18" customHeight="1">
      <c r="A3310" s="4" t="s">
        <v>110</v>
      </c>
      <c r="B3310" s="4" t="str">
        <f>"2020043919"</f>
        <v>2020043919</v>
      </c>
      <c r="C3310" s="5">
        <v>57.6</v>
      </c>
      <c r="D3310" s="6">
        <v>58.5</v>
      </c>
      <c r="E3310" s="7">
        <f t="shared" si="51"/>
        <v>116.1</v>
      </c>
      <c r="F3310" s="8"/>
    </row>
    <row r="3311" spans="1:6" ht="18" customHeight="1">
      <c r="A3311" s="4" t="s">
        <v>110</v>
      </c>
      <c r="B3311" s="4" t="str">
        <f>"2020040108"</f>
        <v>2020040108</v>
      </c>
      <c r="C3311" s="5">
        <v>60.7</v>
      </c>
      <c r="D3311" s="6">
        <v>54.5</v>
      </c>
      <c r="E3311" s="7">
        <f t="shared" si="51"/>
        <v>115.2</v>
      </c>
      <c r="F3311" s="8"/>
    </row>
    <row r="3312" spans="1:6" ht="18" customHeight="1">
      <c r="A3312" s="4" t="s">
        <v>110</v>
      </c>
      <c r="B3312" s="4" t="str">
        <f>"2020032028"</f>
        <v>2020032028</v>
      </c>
      <c r="C3312" s="5">
        <v>57.7</v>
      </c>
      <c r="D3312" s="6">
        <v>51</v>
      </c>
      <c r="E3312" s="7">
        <f t="shared" si="51"/>
        <v>108.7</v>
      </c>
      <c r="F3312" s="8"/>
    </row>
    <row r="3313" spans="1:6" ht="18" customHeight="1">
      <c r="A3313" s="4" t="s">
        <v>110</v>
      </c>
      <c r="B3313" s="4" t="str">
        <f>"2020042404"</f>
        <v>2020042404</v>
      </c>
      <c r="C3313" s="5">
        <v>58.2</v>
      </c>
      <c r="D3313" s="6">
        <v>45</v>
      </c>
      <c r="E3313" s="7">
        <f t="shared" si="51"/>
        <v>103.2</v>
      </c>
      <c r="F3313" s="8"/>
    </row>
    <row r="3314" spans="1:6" ht="18" customHeight="1">
      <c r="A3314" s="4" t="s">
        <v>110</v>
      </c>
      <c r="B3314" s="4" t="str">
        <f>"2020046507"</f>
        <v>2020046507</v>
      </c>
      <c r="C3314" s="5">
        <v>46.2</v>
      </c>
      <c r="D3314" s="6">
        <v>54.5</v>
      </c>
      <c r="E3314" s="7">
        <f t="shared" si="51"/>
        <v>100.7</v>
      </c>
      <c r="F3314" s="8"/>
    </row>
    <row r="3315" spans="1:6" ht="18" customHeight="1">
      <c r="A3315" s="4" t="s">
        <v>110</v>
      </c>
      <c r="B3315" s="4" t="str">
        <f>"2020021826"</f>
        <v>2020021826</v>
      </c>
      <c r="C3315" s="5">
        <v>55.5</v>
      </c>
      <c r="D3315" s="6">
        <v>39.5</v>
      </c>
      <c r="E3315" s="7">
        <f t="shared" si="51"/>
        <v>95</v>
      </c>
      <c r="F3315" s="8"/>
    </row>
    <row r="3316" spans="1:6" ht="18" customHeight="1">
      <c r="A3316" s="4" t="s">
        <v>110</v>
      </c>
      <c r="B3316" s="4" t="str">
        <f>"2020021528"</f>
        <v>2020021528</v>
      </c>
      <c r="C3316" s="5">
        <v>56.7</v>
      </c>
      <c r="D3316" s="6">
        <v>26</v>
      </c>
      <c r="E3316" s="7">
        <f t="shared" si="51"/>
        <v>82.7</v>
      </c>
      <c r="F3316" s="8"/>
    </row>
    <row r="3317" spans="1:6" ht="18" customHeight="1">
      <c r="A3317" s="4" t="s">
        <v>110</v>
      </c>
      <c r="B3317" s="4" t="str">
        <f>"2020031013"</f>
        <v>2020031013</v>
      </c>
      <c r="C3317" s="5">
        <v>0</v>
      </c>
      <c r="D3317" s="6">
        <v>53.5</v>
      </c>
      <c r="E3317" s="7">
        <f t="shared" si="51"/>
        <v>53.5</v>
      </c>
      <c r="F3317" s="8" t="s">
        <v>10</v>
      </c>
    </row>
    <row r="3318" spans="1:6" ht="18" customHeight="1">
      <c r="A3318" s="4" t="s">
        <v>110</v>
      </c>
      <c r="B3318" s="4" t="str">
        <f>"2020041908"</f>
        <v>2020041908</v>
      </c>
      <c r="C3318" s="5">
        <v>0</v>
      </c>
      <c r="D3318" s="6">
        <v>51</v>
      </c>
      <c r="E3318" s="7">
        <f t="shared" si="51"/>
        <v>51</v>
      </c>
      <c r="F3318" s="10" t="s">
        <v>111</v>
      </c>
    </row>
    <row r="3319" spans="1:6" ht="18" customHeight="1">
      <c r="A3319" s="4" t="s">
        <v>110</v>
      </c>
      <c r="B3319" s="4" t="str">
        <f>"2020030827"</f>
        <v>2020030827</v>
      </c>
      <c r="C3319" s="5">
        <v>0</v>
      </c>
      <c r="D3319" s="6">
        <v>3</v>
      </c>
      <c r="E3319" s="7">
        <f t="shared" si="51"/>
        <v>3</v>
      </c>
      <c r="F3319" s="8" t="s">
        <v>10</v>
      </c>
    </row>
    <row r="3320" spans="1:6" ht="18" customHeight="1">
      <c r="A3320" s="4" t="s">
        <v>110</v>
      </c>
      <c r="B3320" s="4" t="str">
        <f>"2020010911"</f>
        <v>2020010911</v>
      </c>
      <c r="C3320" s="5">
        <v>0</v>
      </c>
      <c r="D3320" s="6">
        <v>0</v>
      </c>
      <c r="E3320" s="7">
        <f t="shared" si="51"/>
        <v>0</v>
      </c>
      <c r="F3320" s="9" t="s">
        <v>8</v>
      </c>
    </row>
    <row r="3321" spans="1:6" ht="18" customHeight="1">
      <c r="A3321" s="4" t="s">
        <v>110</v>
      </c>
      <c r="B3321" s="4" t="str">
        <f>"2020010921"</f>
        <v>2020010921</v>
      </c>
      <c r="C3321" s="5">
        <v>0</v>
      </c>
      <c r="D3321" s="6">
        <v>0</v>
      </c>
      <c r="E3321" s="7">
        <f t="shared" si="51"/>
        <v>0</v>
      </c>
      <c r="F3321" s="9" t="s">
        <v>8</v>
      </c>
    </row>
    <row r="3322" spans="1:6" ht="18" customHeight="1">
      <c r="A3322" s="4" t="s">
        <v>110</v>
      </c>
      <c r="B3322" s="4" t="str">
        <f>"2020011830"</f>
        <v>2020011830</v>
      </c>
      <c r="C3322" s="5">
        <v>0</v>
      </c>
      <c r="D3322" s="6">
        <v>0</v>
      </c>
      <c r="E3322" s="7">
        <f t="shared" si="51"/>
        <v>0</v>
      </c>
      <c r="F3322" s="9" t="s">
        <v>8</v>
      </c>
    </row>
    <row r="3323" spans="1:6" ht="18" customHeight="1">
      <c r="A3323" s="4" t="s">
        <v>110</v>
      </c>
      <c r="B3323" s="4" t="str">
        <f>"2020012018"</f>
        <v>2020012018</v>
      </c>
      <c r="C3323" s="5">
        <v>0</v>
      </c>
      <c r="D3323" s="6">
        <v>0</v>
      </c>
      <c r="E3323" s="7">
        <f t="shared" si="51"/>
        <v>0</v>
      </c>
      <c r="F3323" s="9" t="s">
        <v>8</v>
      </c>
    </row>
    <row r="3324" spans="1:6" ht="18" customHeight="1">
      <c r="A3324" s="4" t="s">
        <v>110</v>
      </c>
      <c r="B3324" s="4" t="str">
        <f>"2020013307"</f>
        <v>2020013307</v>
      </c>
      <c r="C3324" s="5">
        <v>0</v>
      </c>
      <c r="D3324" s="6">
        <v>0</v>
      </c>
      <c r="E3324" s="7">
        <f t="shared" si="51"/>
        <v>0</v>
      </c>
      <c r="F3324" s="9" t="s">
        <v>8</v>
      </c>
    </row>
    <row r="3325" spans="1:6" ht="18" customHeight="1">
      <c r="A3325" s="4" t="s">
        <v>110</v>
      </c>
      <c r="B3325" s="4" t="str">
        <f>"2020013521"</f>
        <v>2020013521</v>
      </c>
      <c r="C3325" s="5">
        <v>0</v>
      </c>
      <c r="D3325" s="6">
        <v>0</v>
      </c>
      <c r="E3325" s="7">
        <f t="shared" si="51"/>
        <v>0</v>
      </c>
      <c r="F3325" s="9" t="s">
        <v>8</v>
      </c>
    </row>
    <row r="3326" spans="1:6" ht="18" customHeight="1">
      <c r="A3326" s="4" t="s">
        <v>110</v>
      </c>
      <c r="B3326" s="4" t="str">
        <f>"2020013606"</f>
        <v>2020013606</v>
      </c>
      <c r="C3326" s="5">
        <v>0</v>
      </c>
      <c r="D3326" s="6">
        <v>0</v>
      </c>
      <c r="E3326" s="7">
        <f t="shared" si="51"/>
        <v>0</v>
      </c>
      <c r="F3326" s="9" t="s">
        <v>8</v>
      </c>
    </row>
    <row r="3327" spans="1:6" ht="18" customHeight="1">
      <c r="A3327" s="4" t="s">
        <v>110</v>
      </c>
      <c r="B3327" s="4" t="str">
        <f>"2020021405"</f>
        <v>2020021405</v>
      </c>
      <c r="C3327" s="5">
        <v>0</v>
      </c>
      <c r="D3327" s="6">
        <v>0</v>
      </c>
      <c r="E3327" s="7">
        <f t="shared" si="51"/>
        <v>0</v>
      </c>
      <c r="F3327" s="8" t="s">
        <v>8</v>
      </c>
    </row>
    <row r="3328" spans="1:6" ht="18" customHeight="1">
      <c r="A3328" s="4" t="s">
        <v>110</v>
      </c>
      <c r="B3328" s="4" t="str">
        <f>"2020022112"</f>
        <v>2020022112</v>
      </c>
      <c r="C3328" s="5">
        <v>0</v>
      </c>
      <c r="D3328" s="6">
        <v>0</v>
      </c>
      <c r="E3328" s="7">
        <f t="shared" si="51"/>
        <v>0</v>
      </c>
      <c r="F3328" s="8" t="s">
        <v>8</v>
      </c>
    </row>
    <row r="3329" spans="1:6" ht="18" customHeight="1">
      <c r="A3329" s="4" t="s">
        <v>110</v>
      </c>
      <c r="B3329" s="4" t="str">
        <f>"2020024226"</f>
        <v>2020024226</v>
      </c>
      <c r="C3329" s="5">
        <v>0</v>
      </c>
      <c r="D3329" s="6">
        <v>0</v>
      </c>
      <c r="E3329" s="7">
        <f t="shared" si="51"/>
        <v>0</v>
      </c>
      <c r="F3329" s="8" t="s">
        <v>8</v>
      </c>
    </row>
    <row r="3330" spans="1:6" ht="18" customHeight="1">
      <c r="A3330" s="4" t="s">
        <v>110</v>
      </c>
      <c r="B3330" s="4" t="str">
        <f>"2020030926"</f>
        <v>2020030926</v>
      </c>
      <c r="C3330" s="5">
        <v>0</v>
      </c>
      <c r="D3330" s="6">
        <v>0</v>
      </c>
      <c r="E3330" s="7">
        <f t="shared" si="51"/>
        <v>0</v>
      </c>
      <c r="F3330" s="8" t="s">
        <v>8</v>
      </c>
    </row>
    <row r="3331" spans="1:6" ht="18" customHeight="1">
      <c r="A3331" s="4" t="s">
        <v>110</v>
      </c>
      <c r="B3331" s="4" t="str">
        <f>"2020031026"</f>
        <v>2020031026</v>
      </c>
      <c r="C3331" s="5">
        <v>0</v>
      </c>
      <c r="D3331" s="6">
        <v>0</v>
      </c>
      <c r="E3331" s="7">
        <f t="shared" ref="E3331:E3394" si="52">SUM(C3331:D3331)</f>
        <v>0</v>
      </c>
      <c r="F3331" s="8" t="s">
        <v>8</v>
      </c>
    </row>
    <row r="3332" spans="1:6" ht="18" customHeight="1">
      <c r="A3332" s="4" t="s">
        <v>110</v>
      </c>
      <c r="B3332" s="4" t="str">
        <f>"2020031212"</f>
        <v>2020031212</v>
      </c>
      <c r="C3332" s="5">
        <v>0</v>
      </c>
      <c r="D3332" s="6">
        <v>0</v>
      </c>
      <c r="E3332" s="7">
        <f t="shared" si="52"/>
        <v>0</v>
      </c>
      <c r="F3332" s="8" t="s">
        <v>8</v>
      </c>
    </row>
    <row r="3333" spans="1:6" ht="18" customHeight="1">
      <c r="A3333" s="4" t="s">
        <v>110</v>
      </c>
      <c r="B3333" s="4" t="str">
        <f>"2020032526"</f>
        <v>2020032526</v>
      </c>
      <c r="C3333" s="5">
        <v>0</v>
      </c>
      <c r="D3333" s="6">
        <v>0</v>
      </c>
      <c r="E3333" s="7">
        <f t="shared" si="52"/>
        <v>0</v>
      </c>
      <c r="F3333" s="8" t="s">
        <v>8</v>
      </c>
    </row>
    <row r="3334" spans="1:6" ht="18" customHeight="1">
      <c r="A3334" s="4" t="s">
        <v>110</v>
      </c>
      <c r="B3334" s="4" t="str">
        <f>"2020034009"</f>
        <v>2020034009</v>
      </c>
      <c r="C3334" s="5">
        <v>0</v>
      </c>
      <c r="D3334" s="6">
        <v>0</v>
      </c>
      <c r="E3334" s="7">
        <f t="shared" si="52"/>
        <v>0</v>
      </c>
      <c r="F3334" s="8" t="s">
        <v>8</v>
      </c>
    </row>
    <row r="3335" spans="1:6" ht="18" customHeight="1">
      <c r="A3335" s="4" t="s">
        <v>110</v>
      </c>
      <c r="B3335" s="4" t="str">
        <f>"2020040930"</f>
        <v>2020040930</v>
      </c>
      <c r="C3335" s="5">
        <v>0</v>
      </c>
      <c r="D3335" s="6">
        <v>0</v>
      </c>
      <c r="E3335" s="7">
        <f t="shared" si="52"/>
        <v>0</v>
      </c>
      <c r="F3335" s="8" t="s">
        <v>8</v>
      </c>
    </row>
    <row r="3336" spans="1:6" ht="18" customHeight="1">
      <c r="A3336" s="4" t="s">
        <v>110</v>
      </c>
      <c r="B3336" s="4" t="str">
        <f>"2020044322"</f>
        <v>2020044322</v>
      </c>
      <c r="C3336" s="5">
        <v>0</v>
      </c>
      <c r="D3336" s="6">
        <v>0</v>
      </c>
      <c r="E3336" s="7">
        <f t="shared" si="52"/>
        <v>0</v>
      </c>
      <c r="F3336" s="8" t="s">
        <v>8</v>
      </c>
    </row>
    <row r="3337" spans="1:6" ht="18" customHeight="1">
      <c r="A3337" s="4" t="s">
        <v>110</v>
      </c>
      <c r="B3337" s="4" t="str">
        <f>"2020044515"</f>
        <v>2020044515</v>
      </c>
      <c r="C3337" s="5">
        <v>0</v>
      </c>
      <c r="D3337" s="6">
        <v>0</v>
      </c>
      <c r="E3337" s="7">
        <f t="shared" si="52"/>
        <v>0</v>
      </c>
      <c r="F3337" s="8" t="s">
        <v>8</v>
      </c>
    </row>
    <row r="3338" spans="1:6" ht="18" customHeight="1">
      <c r="A3338" s="4" t="s">
        <v>110</v>
      </c>
      <c r="B3338" s="4" t="str">
        <f>"2020045913"</f>
        <v>2020045913</v>
      </c>
      <c r="C3338" s="5">
        <v>0</v>
      </c>
      <c r="D3338" s="6">
        <v>0</v>
      </c>
      <c r="E3338" s="7">
        <f t="shared" si="52"/>
        <v>0</v>
      </c>
      <c r="F3338" s="8" t="s">
        <v>8</v>
      </c>
    </row>
    <row r="3339" spans="1:6" ht="18" customHeight="1">
      <c r="A3339" s="4" t="s">
        <v>110</v>
      </c>
      <c r="B3339" s="4" t="str">
        <f>"2020047411"</f>
        <v>2020047411</v>
      </c>
      <c r="C3339" s="5">
        <v>0</v>
      </c>
      <c r="D3339" s="6">
        <v>0</v>
      </c>
      <c r="E3339" s="7">
        <f t="shared" si="52"/>
        <v>0</v>
      </c>
      <c r="F3339" s="8" t="s">
        <v>8</v>
      </c>
    </row>
    <row r="3340" spans="1:6" ht="18" customHeight="1">
      <c r="A3340" s="4" t="s">
        <v>112</v>
      </c>
      <c r="B3340" s="4" t="str">
        <f>"2020045124"</f>
        <v>2020045124</v>
      </c>
      <c r="C3340" s="5">
        <v>74.8</v>
      </c>
      <c r="D3340" s="6">
        <v>75.5</v>
      </c>
      <c r="E3340" s="7">
        <f t="shared" si="52"/>
        <v>150.30000000000001</v>
      </c>
      <c r="F3340" s="8"/>
    </row>
    <row r="3341" spans="1:6" ht="18" customHeight="1">
      <c r="A3341" s="4" t="s">
        <v>112</v>
      </c>
      <c r="B3341" s="4" t="str">
        <f>"2020045221"</f>
        <v>2020045221</v>
      </c>
      <c r="C3341" s="5">
        <v>75.8</v>
      </c>
      <c r="D3341" s="6">
        <v>74</v>
      </c>
      <c r="E3341" s="7">
        <f t="shared" si="52"/>
        <v>149.80000000000001</v>
      </c>
      <c r="F3341" s="8"/>
    </row>
    <row r="3342" spans="1:6" ht="18" customHeight="1">
      <c r="A3342" s="4" t="s">
        <v>112</v>
      </c>
      <c r="B3342" s="4" t="str">
        <f>"2020040313"</f>
        <v>2020040313</v>
      </c>
      <c r="C3342" s="5">
        <v>73.3</v>
      </c>
      <c r="D3342" s="6">
        <v>75.5</v>
      </c>
      <c r="E3342" s="7">
        <f t="shared" si="52"/>
        <v>148.80000000000001</v>
      </c>
      <c r="F3342" s="8"/>
    </row>
    <row r="3343" spans="1:6" ht="18" customHeight="1">
      <c r="A3343" s="4" t="s">
        <v>112</v>
      </c>
      <c r="B3343" s="4" t="str">
        <f>"2020042622"</f>
        <v>2020042622</v>
      </c>
      <c r="C3343" s="5">
        <v>68.7</v>
      </c>
      <c r="D3343" s="6">
        <v>78.5</v>
      </c>
      <c r="E3343" s="7">
        <f t="shared" si="52"/>
        <v>147.19999999999999</v>
      </c>
      <c r="F3343" s="8"/>
    </row>
    <row r="3344" spans="1:6" ht="18" customHeight="1">
      <c r="A3344" s="4" t="s">
        <v>112</v>
      </c>
      <c r="B3344" s="4" t="str">
        <f>"2020013925"</f>
        <v>2020013925</v>
      </c>
      <c r="C3344" s="5">
        <v>66.900000000000006</v>
      </c>
      <c r="D3344" s="6">
        <v>76.5</v>
      </c>
      <c r="E3344" s="7">
        <f t="shared" si="52"/>
        <v>143.4</v>
      </c>
      <c r="F3344" s="8"/>
    </row>
    <row r="3345" spans="1:6" ht="18" customHeight="1">
      <c r="A3345" s="4" t="s">
        <v>112</v>
      </c>
      <c r="B3345" s="4" t="str">
        <f>"2020021218"</f>
        <v>2020021218</v>
      </c>
      <c r="C3345" s="5">
        <v>54.5</v>
      </c>
      <c r="D3345" s="6">
        <v>45</v>
      </c>
      <c r="E3345" s="7">
        <f t="shared" si="52"/>
        <v>99.5</v>
      </c>
      <c r="F3345" s="8"/>
    </row>
    <row r="3346" spans="1:6" ht="18" customHeight="1">
      <c r="A3346" s="4" t="s">
        <v>112</v>
      </c>
      <c r="B3346" s="4" t="str">
        <f>"2020031821"</f>
        <v>2020031821</v>
      </c>
      <c r="C3346" s="5">
        <v>0</v>
      </c>
      <c r="D3346" s="6">
        <v>0</v>
      </c>
      <c r="E3346" s="7">
        <f t="shared" si="52"/>
        <v>0</v>
      </c>
      <c r="F3346" s="8" t="s">
        <v>8</v>
      </c>
    </row>
    <row r="3347" spans="1:6" ht="18" customHeight="1">
      <c r="A3347" s="4" t="s">
        <v>113</v>
      </c>
      <c r="B3347" s="4" t="str">
        <f>"2020044011"</f>
        <v>2020044011</v>
      </c>
      <c r="C3347" s="5">
        <v>68.3</v>
      </c>
      <c r="D3347" s="6">
        <v>63</v>
      </c>
      <c r="E3347" s="7">
        <f t="shared" si="52"/>
        <v>131.30000000000001</v>
      </c>
      <c r="F3347" s="8"/>
    </row>
    <row r="3348" spans="1:6" ht="18" customHeight="1">
      <c r="A3348" s="4" t="s">
        <v>113</v>
      </c>
      <c r="B3348" s="4" t="str">
        <f>"2020043902"</f>
        <v>2020043902</v>
      </c>
      <c r="C3348" s="5">
        <v>63.3</v>
      </c>
      <c r="D3348" s="6">
        <v>63.5</v>
      </c>
      <c r="E3348" s="7">
        <f t="shared" si="52"/>
        <v>126.8</v>
      </c>
      <c r="F3348" s="8"/>
    </row>
    <row r="3349" spans="1:6" ht="18" customHeight="1">
      <c r="A3349" s="4" t="s">
        <v>113</v>
      </c>
      <c r="B3349" s="4" t="str">
        <f>"2020047312"</f>
        <v>2020047312</v>
      </c>
      <c r="C3349" s="5">
        <v>0</v>
      </c>
      <c r="D3349" s="6">
        <v>0</v>
      </c>
      <c r="E3349" s="7">
        <f t="shared" si="52"/>
        <v>0</v>
      </c>
      <c r="F3349" s="8" t="s">
        <v>8</v>
      </c>
    </row>
    <row r="3350" spans="1:6" ht="18" customHeight="1">
      <c r="A3350" s="4" t="s">
        <v>114</v>
      </c>
      <c r="B3350" s="4" t="str">
        <f>"2020042113"</f>
        <v>2020042113</v>
      </c>
      <c r="C3350" s="5">
        <v>75.400000000000006</v>
      </c>
      <c r="D3350" s="6">
        <v>84.5</v>
      </c>
      <c r="E3350" s="7">
        <f t="shared" si="52"/>
        <v>159.9</v>
      </c>
      <c r="F3350" s="9" t="s">
        <v>13</v>
      </c>
    </row>
    <row r="3351" spans="1:6" ht="18" customHeight="1">
      <c r="A3351" s="4" t="s">
        <v>114</v>
      </c>
      <c r="B3351" s="4" t="str">
        <f>"2020010529"</f>
        <v>2020010529</v>
      </c>
      <c r="C3351" s="5">
        <v>78.599999999999994</v>
      </c>
      <c r="D3351" s="6">
        <v>80</v>
      </c>
      <c r="E3351" s="7">
        <f t="shared" si="52"/>
        <v>158.6</v>
      </c>
      <c r="F3351" s="8"/>
    </row>
    <row r="3352" spans="1:6" ht="18" customHeight="1">
      <c r="A3352" s="4" t="s">
        <v>114</v>
      </c>
      <c r="B3352" s="4" t="str">
        <f>"2020047004"</f>
        <v>2020047004</v>
      </c>
      <c r="C3352" s="5">
        <v>70.2</v>
      </c>
      <c r="D3352" s="6">
        <v>72</v>
      </c>
      <c r="E3352" s="7">
        <f t="shared" si="52"/>
        <v>142.19999999999999</v>
      </c>
      <c r="F3352" s="8"/>
    </row>
    <row r="3353" spans="1:6" ht="18" customHeight="1">
      <c r="A3353" s="4" t="s">
        <v>114</v>
      </c>
      <c r="B3353" s="4" t="str">
        <f>"2020011630"</f>
        <v>2020011630</v>
      </c>
      <c r="C3353" s="5">
        <v>76.2</v>
      </c>
      <c r="D3353" s="6">
        <v>65.5</v>
      </c>
      <c r="E3353" s="7">
        <f t="shared" si="52"/>
        <v>141.69999999999999</v>
      </c>
      <c r="F3353" s="8"/>
    </row>
    <row r="3354" spans="1:6" ht="18" customHeight="1">
      <c r="A3354" s="4" t="s">
        <v>114</v>
      </c>
      <c r="B3354" s="4" t="str">
        <f>"2020010521"</f>
        <v>2020010521</v>
      </c>
      <c r="C3354" s="5">
        <v>67.8</v>
      </c>
      <c r="D3354" s="6">
        <v>70.5</v>
      </c>
      <c r="E3354" s="7">
        <f t="shared" si="52"/>
        <v>138.30000000000001</v>
      </c>
      <c r="F3354" s="8"/>
    </row>
    <row r="3355" spans="1:6" ht="18" customHeight="1">
      <c r="A3355" s="4" t="s">
        <v>114</v>
      </c>
      <c r="B3355" s="4" t="str">
        <f>"2020044125"</f>
        <v>2020044125</v>
      </c>
      <c r="C3355" s="5">
        <v>68.3</v>
      </c>
      <c r="D3355" s="6">
        <v>66.5</v>
      </c>
      <c r="E3355" s="7">
        <f t="shared" si="52"/>
        <v>134.80000000000001</v>
      </c>
      <c r="F3355" s="8"/>
    </row>
    <row r="3356" spans="1:6" ht="18" customHeight="1">
      <c r="A3356" s="4" t="s">
        <v>114</v>
      </c>
      <c r="B3356" s="4" t="str">
        <f>"2020031513"</f>
        <v>2020031513</v>
      </c>
      <c r="C3356" s="5">
        <v>66.8</v>
      </c>
      <c r="D3356" s="6">
        <v>67.5</v>
      </c>
      <c r="E3356" s="7">
        <f t="shared" si="52"/>
        <v>134.30000000000001</v>
      </c>
      <c r="F3356" s="8"/>
    </row>
    <row r="3357" spans="1:6" ht="18" customHeight="1">
      <c r="A3357" s="4" t="s">
        <v>114</v>
      </c>
      <c r="B3357" s="4" t="str">
        <f>"2020012524"</f>
        <v>2020012524</v>
      </c>
      <c r="C3357" s="5">
        <v>73.099999999999994</v>
      </c>
      <c r="D3357" s="6">
        <v>61</v>
      </c>
      <c r="E3357" s="7">
        <f t="shared" si="52"/>
        <v>134.1</v>
      </c>
      <c r="F3357" s="8"/>
    </row>
    <row r="3358" spans="1:6" ht="18" customHeight="1">
      <c r="A3358" s="4" t="s">
        <v>114</v>
      </c>
      <c r="B3358" s="4" t="str">
        <f>"2020012022"</f>
        <v>2020012022</v>
      </c>
      <c r="C3358" s="5">
        <v>68.400000000000006</v>
      </c>
      <c r="D3358" s="6">
        <v>65.5</v>
      </c>
      <c r="E3358" s="7">
        <f t="shared" si="52"/>
        <v>133.9</v>
      </c>
      <c r="F3358" s="8"/>
    </row>
    <row r="3359" spans="1:6" ht="18" customHeight="1">
      <c r="A3359" s="4" t="s">
        <v>114</v>
      </c>
      <c r="B3359" s="4" t="str">
        <f>"2020041307"</f>
        <v>2020041307</v>
      </c>
      <c r="C3359" s="5">
        <v>70.5</v>
      </c>
      <c r="D3359" s="6">
        <v>62.5</v>
      </c>
      <c r="E3359" s="7">
        <f t="shared" si="52"/>
        <v>133</v>
      </c>
      <c r="F3359" s="8"/>
    </row>
    <row r="3360" spans="1:6" ht="18" customHeight="1">
      <c r="A3360" s="4" t="s">
        <v>114</v>
      </c>
      <c r="B3360" s="4" t="str">
        <f>"2020043326"</f>
        <v>2020043326</v>
      </c>
      <c r="C3360" s="5">
        <v>70.599999999999994</v>
      </c>
      <c r="D3360" s="6">
        <v>61.5</v>
      </c>
      <c r="E3360" s="7">
        <f t="shared" si="52"/>
        <v>132.1</v>
      </c>
      <c r="F3360" s="8"/>
    </row>
    <row r="3361" spans="1:6" ht="18" customHeight="1">
      <c r="A3361" s="4" t="s">
        <v>114</v>
      </c>
      <c r="B3361" s="4" t="str">
        <f>"2020012211"</f>
        <v>2020012211</v>
      </c>
      <c r="C3361" s="5">
        <v>67.099999999999994</v>
      </c>
      <c r="D3361" s="6">
        <v>64.5</v>
      </c>
      <c r="E3361" s="7">
        <f t="shared" si="52"/>
        <v>131.6</v>
      </c>
      <c r="F3361" s="8"/>
    </row>
    <row r="3362" spans="1:6" ht="18" customHeight="1">
      <c r="A3362" s="4" t="s">
        <v>114</v>
      </c>
      <c r="B3362" s="4" t="str">
        <f>"2020023914"</f>
        <v>2020023914</v>
      </c>
      <c r="C3362" s="5">
        <v>62.9</v>
      </c>
      <c r="D3362" s="6">
        <v>67</v>
      </c>
      <c r="E3362" s="7">
        <f t="shared" si="52"/>
        <v>129.9</v>
      </c>
      <c r="F3362" s="8"/>
    </row>
    <row r="3363" spans="1:6" ht="18" customHeight="1">
      <c r="A3363" s="4" t="s">
        <v>114</v>
      </c>
      <c r="B3363" s="4" t="str">
        <f>"2020020828"</f>
        <v>2020020828</v>
      </c>
      <c r="C3363" s="5">
        <v>70.2</v>
      </c>
      <c r="D3363" s="6">
        <v>59</v>
      </c>
      <c r="E3363" s="7">
        <f t="shared" si="52"/>
        <v>129.19999999999999</v>
      </c>
      <c r="F3363" s="8"/>
    </row>
    <row r="3364" spans="1:6" ht="18" customHeight="1">
      <c r="A3364" s="4" t="s">
        <v>114</v>
      </c>
      <c r="B3364" s="4" t="str">
        <f>"2020011322"</f>
        <v>2020011322</v>
      </c>
      <c r="C3364" s="5">
        <v>66.7</v>
      </c>
      <c r="D3364" s="6">
        <v>59.5</v>
      </c>
      <c r="E3364" s="7">
        <f t="shared" si="52"/>
        <v>126.2</v>
      </c>
      <c r="F3364" s="8"/>
    </row>
    <row r="3365" spans="1:6" ht="18" customHeight="1">
      <c r="A3365" s="4" t="s">
        <v>114</v>
      </c>
      <c r="B3365" s="4" t="str">
        <f>"2020041428"</f>
        <v>2020041428</v>
      </c>
      <c r="C3365" s="5">
        <v>73</v>
      </c>
      <c r="D3365" s="6">
        <v>53</v>
      </c>
      <c r="E3365" s="7">
        <f t="shared" si="52"/>
        <v>126</v>
      </c>
      <c r="F3365" s="8"/>
    </row>
    <row r="3366" spans="1:6" ht="18" customHeight="1">
      <c r="A3366" s="4" t="s">
        <v>114</v>
      </c>
      <c r="B3366" s="4" t="str">
        <f>"2020030128"</f>
        <v>2020030128</v>
      </c>
      <c r="C3366" s="5">
        <v>67.900000000000006</v>
      </c>
      <c r="D3366" s="6">
        <v>53</v>
      </c>
      <c r="E3366" s="7">
        <f t="shared" si="52"/>
        <v>120.9</v>
      </c>
      <c r="F3366" s="8"/>
    </row>
    <row r="3367" spans="1:6" ht="18" customHeight="1">
      <c r="A3367" s="4" t="s">
        <v>114</v>
      </c>
      <c r="B3367" s="4" t="str">
        <f>"2020031119"</f>
        <v>2020031119</v>
      </c>
      <c r="C3367" s="5">
        <v>58.7</v>
      </c>
      <c r="D3367" s="6">
        <v>58.5</v>
      </c>
      <c r="E3367" s="7">
        <f t="shared" si="52"/>
        <v>117.2</v>
      </c>
      <c r="F3367" s="8"/>
    </row>
    <row r="3368" spans="1:6" ht="18" customHeight="1">
      <c r="A3368" s="4" t="s">
        <v>114</v>
      </c>
      <c r="B3368" s="4" t="str">
        <f>"2020023811"</f>
        <v>2020023811</v>
      </c>
      <c r="C3368" s="5">
        <v>57.3</v>
      </c>
      <c r="D3368" s="6">
        <v>59</v>
      </c>
      <c r="E3368" s="7">
        <f t="shared" si="52"/>
        <v>116.3</v>
      </c>
      <c r="F3368" s="8"/>
    </row>
    <row r="3369" spans="1:6" ht="18" customHeight="1">
      <c r="A3369" s="4" t="s">
        <v>114</v>
      </c>
      <c r="B3369" s="4" t="str">
        <f>"2020024518"</f>
        <v>2020024518</v>
      </c>
      <c r="C3369" s="5">
        <v>55.7</v>
      </c>
      <c r="D3369" s="6">
        <v>56</v>
      </c>
      <c r="E3369" s="7">
        <f t="shared" si="52"/>
        <v>111.7</v>
      </c>
      <c r="F3369" s="8"/>
    </row>
    <row r="3370" spans="1:6" ht="18" customHeight="1">
      <c r="A3370" s="4" t="s">
        <v>114</v>
      </c>
      <c r="B3370" s="4" t="str">
        <f>"2020032307"</f>
        <v>2020032307</v>
      </c>
      <c r="C3370" s="5">
        <v>62.3</v>
      </c>
      <c r="D3370" s="6">
        <v>47</v>
      </c>
      <c r="E3370" s="7">
        <f t="shared" si="52"/>
        <v>109.3</v>
      </c>
      <c r="F3370" s="8"/>
    </row>
    <row r="3371" spans="1:6" ht="18" customHeight="1">
      <c r="A3371" s="4" t="s">
        <v>114</v>
      </c>
      <c r="B3371" s="4" t="str">
        <f>"2020021316"</f>
        <v>2020021316</v>
      </c>
      <c r="C3371" s="5">
        <v>0</v>
      </c>
      <c r="D3371" s="6">
        <v>0</v>
      </c>
      <c r="E3371" s="7">
        <f t="shared" si="52"/>
        <v>0</v>
      </c>
      <c r="F3371" s="8" t="s">
        <v>8</v>
      </c>
    </row>
    <row r="3372" spans="1:6" ht="18" customHeight="1">
      <c r="A3372" s="4" t="s">
        <v>114</v>
      </c>
      <c r="B3372" s="4" t="str">
        <f>"2020022418"</f>
        <v>2020022418</v>
      </c>
      <c r="C3372" s="5">
        <v>0</v>
      </c>
      <c r="D3372" s="6">
        <v>0</v>
      </c>
      <c r="E3372" s="7">
        <f t="shared" si="52"/>
        <v>0</v>
      </c>
      <c r="F3372" s="8" t="s">
        <v>8</v>
      </c>
    </row>
    <row r="3373" spans="1:6" ht="18" customHeight="1">
      <c r="A3373" s="4" t="s">
        <v>114</v>
      </c>
      <c r="B3373" s="4" t="str">
        <f>"2020023911"</f>
        <v>2020023911</v>
      </c>
      <c r="C3373" s="5">
        <v>0</v>
      </c>
      <c r="D3373" s="6">
        <v>0</v>
      </c>
      <c r="E3373" s="7">
        <f t="shared" si="52"/>
        <v>0</v>
      </c>
      <c r="F3373" s="8" t="s">
        <v>8</v>
      </c>
    </row>
    <row r="3374" spans="1:6" ht="18" customHeight="1">
      <c r="A3374" s="4" t="s">
        <v>114</v>
      </c>
      <c r="B3374" s="4" t="str">
        <f>"2020031530"</f>
        <v>2020031530</v>
      </c>
      <c r="C3374" s="5">
        <v>0</v>
      </c>
      <c r="D3374" s="6">
        <v>0</v>
      </c>
      <c r="E3374" s="7">
        <f t="shared" si="52"/>
        <v>0</v>
      </c>
      <c r="F3374" s="8" t="s">
        <v>8</v>
      </c>
    </row>
    <row r="3375" spans="1:6" ht="18" customHeight="1">
      <c r="A3375" s="4" t="s">
        <v>114</v>
      </c>
      <c r="B3375" s="4" t="str">
        <f>"2020031903"</f>
        <v>2020031903</v>
      </c>
      <c r="C3375" s="5">
        <v>0</v>
      </c>
      <c r="D3375" s="6">
        <v>0</v>
      </c>
      <c r="E3375" s="7">
        <f t="shared" si="52"/>
        <v>0</v>
      </c>
      <c r="F3375" s="8" t="s">
        <v>8</v>
      </c>
    </row>
    <row r="3376" spans="1:6" ht="18" customHeight="1">
      <c r="A3376" s="4" t="s">
        <v>114</v>
      </c>
      <c r="B3376" s="4" t="str">
        <f>"2020031914"</f>
        <v>2020031914</v>
      </c>
      <c r="C3376" s="5">
        <v>0</v>
      </c>
      <c r="D3376" s="6">
        <v>0</v>
      </c>
      <c r="E3376" s="7">
        <f t="shared" si="52"/>
        <v>0</v>
      </c>
      <c r="F3376" s="8" t="s">
        <v>8</v>
      </c>
    </row>
    <row r="3377" spans="1:6" ht="18" customHeight="1">
      <c r="A3377" s="4" t="s">
        <v>114</v>
      </c>
      <c r="B3377" s="4" t="str">
        <f>"2020033018"</f>
        <v>2020033018</v>
      </c>
      <c r="C3377" s="5">
        <v>0</v>
      </c>
      <c r="D3377" s="6">
        <v>0</v>
      </c>
      <c r="E3377" s="7">
        <f t="shared" si="52"/>
        <v>0</v>
      </c>
      <c r="F3377" s="8" t="s">
        <v>8</v>
      </c>
    </row>
    <row r="3378" spans="1:6" ht="18" customHeight="1">
      <c r="A3378" s="4" t="s">
        <v>114</v>
      </c>
      <c r="B3378" s="4" t="str">
        <f>"2020041505"</f>
        <v>2020041505</v>
      </c>
      <c r="C3378" s="5">
        <v>0</v>
      </c>
      <c r="D3378" s="6">
        <v>0</v>
      </c>
      <c r="E3378" s="7">
        <f t="shared" si="52"/>
        <v>0</v>
      </c>
      <c r="F3378" s="8" t="s">
        <v>8</v>
      </c>
    </row>
    <row r="3379" spans="1:6" ht="18" customHeight="1">
      <c r="A3379" s="4" t="s">
        <v>114</v>
      </c>
      <c r="B3379" s="4" t="str">
        <f>"2020042902"</f>
        <v>2020042902</v>
      </c>
      <c r="C3379" s="5">
        <v>0</v>
      </c>
      <c r="D3379" s="6">
        <v>0</v>
      </c>
      <c r="E3379" s="7">
        <f t="shared" si="52"/>
        <v>0</v>
      </c>
      <c r="F3379" s="8" t="s">
        <v>8</v>
      </c>
    </row>
    <row r="3380" spans="1:6" ht="18" customHeight="1">
      <c r="A3380" s="4" t="s">
        <v>114</v>
      </c>
      <c r="B3380" s="4" t="str">
        <f>"2020045014"</f>
        <v>2020045014</v>
      </c>
      <c r="C3380" s="5">
        <v>0</v>
      </c>
      <c r="D3380" s="6">
        <v>0</v>
      </c>
      <c r="E3380" s="7">
        <f t="shared" si="52"/>
        <v>0</v>
      </c>
      <c r="F3380" s="8" t="s">
        <v>8</v>
      </c>
    </row>
    <row r="3381" spans="1:6" ht="18" customHeight="1">
      <c r="A3381" s="4" t="s">
        <v>115</v>
      </c>
      <c r="B3381" s="4" t="str">
        <f>"2020045325"</f>
        <v>2020045325</v>
      </c>
      <c r="C3381" s="5">
        <v>62.6</v>
      </c>
      <c r="D3381" s="6">
        <v>82.5</v>
      </c>
      <c r="E3381" s="7">
        <f t="shared" si="52"/>
        <v>145.1</v>
      </c>
      <c r="F3381" s="8"/>
    </row>
    <row r="3382" spans="1:6" ht="18" customHeight="1">
      <c r="A3382" s="4" t="s">
        <v>115</v>
      </c>
      <c r="B3382" s="4" t="str">
        <f>"2020045101"</f>
        <v>2020045101</v>
      </c>
      <c r="C3382" s="5">
        <v>77.8</v>
      </c>
      <c r="D3382" s="6">
        <v>67</v>
      </c>
      <c r="E3382" s="7">
        <f t="shared" si="52"/>
        <v>144.80000000000001</v>
      </c>
      <c r="F3382" s="8"/>
    </row>
    <row r="3383" spans="1:6" ht="18" customHeight="1">
      <c r="A3383" s="4" t="s">
        <v>115</v>
      </c>
      <c r="B3383" s="4" t="str">
        <f>"2020034008"</f>
        <v>2020034008</v>
      </c>
      <c r="C3383" s="5">
        <v>71.900000000000006</v>
      </c>
      <c r="D3383" s="6">
        <v>66.5</v>
      </c>
      <c r="E3383" s="7">
        <f t="shared" si="52"/>
        <v>138.4</v>
      </c>
      <c r="F3383" s="8"/>
    </row>
    <row r="3384" spans="1:6" ht="18" customHeight="1">
      <c r="A3384" s="4" t="s">
        <v>115</v>
      </c>
      <c r="B3384" s="4" t="str">
        <f>"2020033804"</f>
        <v>2020033804</v>
      </c>
      <c r="C3384" s="5">
        <v>61.8</v>
      </c>
      <c r="D3384" s="6">
        <v>68</v>
      </c>
      <c r="E3384" s="7">
        <f t="shared" si="52"/>
        <v>129.80000000000001</v>
      </c>
      <c r="F3384" s="8"/>
    </row>
    <row r="3385" spans="1:6" ht="18" customHeight="1">
      <c r="A3385" s="4" t="s">
        <v>115</v>
      </c>
      <c r="B3385" s="4" t="str">
        <f>"2020041829"</f>
        <v>2020041829</v>
      </c>
      <c r="C3385" s="5">
        <v>68.7</v>
      </c>
      <c r="D3385" s="6">
        <v>59</v>
      </c>
      <c r="E3385" s="7">
        <f t="shared" si="52"/>
        <v>127.7</v>
      </c>
      <c r="F3385" s="8"/>
    </row>
    <row r="3386" spans="1:6" ht="18" customHeight="1">
      <c r="A3386" s="4" t="s">
        <v>116</v>
      </c>
      <c r="B3386" s="4" t="str">
        <f>"2020044820"</f>
        <v>2020044820</v>
      </c>
      <c r="C3386" s="5">
        <v>78.2</v>
      </c>
      <c r="D3386" s="6">
        <v>74.5</v>
      </c>
      <c r="E3386" s="7">
        <f t="shared" si="52"/>
        <v>152.69999999999999</v>
      </c>
      <c r="F3386" s="8"/>
    </row>
    <row r="3387" spans="1:6" ht="18" customHeight="1">
      <c r="A3387" s="4" t="s">
        <v>116</v>
      </c>
      <c r="B3387" s="4" t="str">
        <f>"2020031404"</f>
        <v>2020031404</v>
      </c>
      <c r="C3387" s="5">
        <v>77.5</v>
      </c>
      <c r="D3387" s="6">
        <v>73</v>
      </c>
      <c r="E3387" s="7">
        <f t="shared" si="52"/>
        <v>150.5</v>
      </c>
      <c r="F3387" s="8"/>
    </row>
    <row r="3388" spans="1:6" ht="18" customHeight="1">
      <c r="A3388" s="4" t="s">
        <v>116</v>
      </c>
      <c r="B3388" s="4" t="str">
        <f>"2020040425"</f>
        <v>2020040425</v>
      </c>
      <c r="C3388" s="5">
        <v>71.099999999999994</v>
      </c>
      <c r="D3388" s="6">
        <v>73.5</v>
      </c>
      <c r="E3388" s="7">
        <f t="shared" si="52"/>
        <v>144.6</v>
      </c>
      <c r="F3388" s="8"/>
    </row>
    <row r="3389" spans="1:6" ht="18" customHeight="1">
      <c r="A3389" s="4" t="s">
        <v>116</v>
      </c>
      <c r="B3389" s="4" t="str">
        <f>"2020010721"</f>
        <v>2020010721</v>
      </c>
      <c r="C3389" s="5">
        <v>0</v>
      </c>
      <c r="D3389" s="6">
        <v>0</v>
      </c>
      <c r="E3389" s="7">
        <f t="shared" si="52"/>
        <v>0</v>
      </c>
      <c r="F3389" s="9" t="s">
        <v>8</v>
      </c>
    </row>
    <row r="3390" spans="1:6" ht="18" customHeight="1">
      <c r="A3390" s="4" t="s">
        <v>117</v>
      </c>
      <c r="B3390" s="4" t="str">
        <f>"2020022027"</f>
        <v>2020022027</v>
      </c>
      <c r="C3390" s="5">
        <v>71.8</v>
      </c>
      <c r="D3390" s="6">
        <v>75.5</v>
      </c>
      <c r="E3390" s="7">
        <f t="shared" si="52"/>
        <v>147.30000000000001</v>
      </c>
      <c r="F3390" s="8"/>
    </row>
    <row r="3391" spans="1:6" ht="18" customHeight="1">
      <c r="A3391" s="4" t="s">
        <v>117</v>
      </c>
      <c r="B3391" s="4" t="str">
        <f>"2020043711"</f>
        <v>2020043711</v>
      </c>
      <c r="C3391" s="5">
        <v>76.5</v>
      </c>
      <c r="D3391" s="6">
        <v>69</v>
      </c>
      <c r="E3391" s="7">
        <f t="shared" si="52"/>
        <v>145.5</v>
      </c>
      <c r="F3391" s="8"/>
    </row>
    <row r="3392" spans="1:6" ht="18" customHeight="1">
      <c r="A3392" s="4" t="s">
        <v>117</v>
      </c>
      <c r="B3392" s="4" t="str">
        <f>"2020010927"</f>
        <v>2020010927</v>
      </c>
      <c r="C3392" s="5">
        <v>72.5</v>
      </c>
      <c r="D3392" s="6">
        <v>71</v>
      </c>
      <c r="E3392" s="7">
        <f t="shared" si="52"/>
        <v>143.5</v>
      </c>
      <c r="F3392" s="8"/>
    </row>
    <row r="3393" spans="1:6" ht="18" customHeight="1">
      <c r="A3393" s="4" t="s">
        <v>117</v>
      </c>
      <c r="B3393" s="4" t="str">
        <f>"2020020614"</f>
        <v>2020020614</v>
      </c>
      <c r="C3393" s="5">
        <v>69.5</v>
      </c>
      <c r="D3393" s="6">
        <v>74</v>
      </c>
      <c r="E3393" s="7">
        <f t="shared" si="52"/>
        <v>143.5</v>
      </c>
      <c r="F3393" s="8"/>
    </row>
    <row r="3394" spans="1:6" ht="18" customHeight="1">
      <c r="A3394" s="4" t="s">
        <v>117</v>
      </c>
      <c r="B3394" s="4" t="str">
        <f>"2020012422"</f>
        <v>2020012422</v>
      </c>
      <c r="C3394" s="5">
        <v>68.900000000000006</v>
      </c>
      <c r="D3394" s="6">
        <v>71.5</v>
      </c>
      <c r="E3394" s="7">
        <f t="shared" si="52"/>
        <v>140.4</v>
      </c>
      <c r="F3394" s="8"/>
    </row>
    <row r="3395" spans="1:6" ht="18" customHeight="1">
      <c r="A3395" s="4" t="s">
        <v>117</v>
      </c>
      <c r="B3395" s="4" t="str">
        <f>"2020044707"</f>
        <v>2020044707</v>
      </c>
      <c r="C3395" s="5">
        <v>67.900000000000006</v>
      </c>
      <c r="D3395" s="6">
        <v>71</v>
      </c>
      <c r="E3395" s="7">
        <f t="shared" ref="E3395:E3458" si="53">SUM(C3395:D3395)</f>
        <v>138.9</v>
      </c>
      <c r="F3395" s="8"/>
    </row>
    <row r="3396" spans="1:6" ht="18" customHeight="1">
      <c r="A3396" s="4" t="s">
        <v>117</v>
      </c>
      <c r="B3396" s="4" t="str">
        <f>"2020044321"</f>
        <v>2020044321</v>
      </c>
      <c r="C3396" s="5">
        <v>73.900000000000006</v>
      </c>
      <c r="D3396" s="6">
        <v>62.5</v>
      </c>
      <c r="E3396" s="7">
        <f t="shared" si="53"/>
        <v>136.4</v>
      </c>
      <c r="F3396" s="8"/>
    </row>
    <row r="3397" spans="1:6" ht="18" customHeight="1">
      <c r="A3397" s="4" t="s">
        <v>117</v>
      </c>
      <c r="B3397" s="4" t="str">
        <f>"2020044514"</f>
        <v>2020044514</v>
      </c>
      <c r="C3397" s="5">
        <v>68.599999999999994</v>
      </c>
      <c r="D3397" s="6">
        <v>67</v>
      </c>
      <c r="E3397" s="7">
        <f t="shared" si="53"/>
        <v>135.6</v>
      </c>
      <c r="F3397" s="8"/>
    </row>
    <row r="3398" spans="1:6" ht="18" customHeight="1">
      <c r="A3398" s="4" t="s">
        <v>117</v>
      </c>
      <c r="B3398" s="4" t="str">
        <f>"2020023103"</f>
        <v>2020023103</v>
      </c>
      <c r="C3398" s="5">
        <v>62.2</v>
      </c>
      <c r="D3398" s="6">
        <v>62.5</v>
      </c>
      <c r="E3398" s="7">
        <f t="shared" si="53"/>
        <v>124.7</v>
      </c>
      <c r="F3398" s="8"/>
    </row>
    <row r="3399" spans="1:6" ht="18" customHeight="1">
      <c r="A3399" s="4" t="s">
        <v>117</v>
      </c>
      <c r="B3399" s="4" t="str">
        <f>"2020044009"</f>
        <v>2020044009</v>
      </c>
      <c r="C3399" s="5">
        <v>69.3</v>
      </c>
      <c r="D3399" s="6">
        <v>52.5</v>
      </c>
      <c r="E3399" s="7">
        <f t="shared" si="53"/>
        <v>121.8</v>
      </c>
      <c r="F3399" s="8"/>
    </row>
    <row r="3400" spans="1:6" ht="18" customHeight="1">
      <c r="A3400" s="4" t="s">
        <v>117</v>
      </c>
      <c r="B3400" s="4" t="str">
        <f>"2020012625"</f>
        <v>2020012625</v>
      </c>
      <c r="C3400" s="5">
        <v>57.9</v>
      </c>
      <c r="D3400" s="6">
        <v>63.5</v>
      </c>
      <c r="E3400" s="7">
        <f t="shared" si="53"/>
        <v>121.4</v>
      </c>
      <c r="F3400" s="8"/>
    </row>
    <row r="3401" spans="1:6" ht="18" customHeight="1">
      <c r="A3401" s="4" t="s">
        <v>117</v>
      </c>
      <c r="B3401" s="4" t="str">
        <f>"2020011114"</f>
        <v>2020011114</v>
      </c>
      <c r="C3401" s="5">
        <v>0</v>
      </c>
      <c r="D3401" s="6">
        <v>0</v>
      </c>
      <c r="E3401" s="7">
        <f t="shared" si="53"/>
        <v>0</v>
      </c>
      <c r="F3401" s="9" t="s">
        <v>8</v>
      </c>
    </row>
    <row r="3402" spans="1:6" ht="18" customHeight="1">
      <c r="A3402" s="4" t="s">
        <v>117</v>
      </c>
      <c r="B3402" s="4" t="str">
        <f>"2020011624"</f>
        <v>2020011624</v>
      </c>
      <c r="C3402" s="5">
        <v>0</v>
      </c>
      <c r="D3402" s="6">
        <v>0</v>
      </c>
      <c r="E3402" s="7">
        <f t="shared" si="53"/>
        <v>0</v>
      </c>
      <c r="F3402" s="9" t="s">
        <v>8</v>
      </c>
    </row>
    <row r="3403" spans="1:6" ht="18" customHeight="1">
      <c r="A3403" s="4" t="s">
        <v>117</v>
      </c>
      <c r="B3403" s="4" t="str">
        <f>"2020024525"</f>
        <v>2020024525</v>
      </c>
      <c r="C3403" s="5">
        <v>0</v>
      </c>
      <c r="D3403" s="6">
        <v>0</v>
      </c>
      <c r="E3403" s="7">
        <f t="shared" si="53"/>
        <v>0</v>
      </c>
      <c r="F3403" s="8" t="s">
        <v>8</v>
      </c>
    </row>
    <row r="3404" spans="1:6" ht="18" customHeight="1">
      <c r="A3404" s="4" t="s">
        <v>117</v>
      </c>
      <c r="B3404" s="4" t="str">
        <f>"2020031029"</f>
        <v>2020031029</v>
      </c>
      <c r="C3404" s="5">
        <v>0</v>
      </c>
      <c r="D3404" s="6">
        <v>0</v>
      </c>
      <c r="E3404" s="7">
        <f t="shared" si="53"/>
        <v>0</v>
      </c>
      <c r="F3404" s="8" t="s">
        <v>8</v>
      </c>
    </row>
    <row r="3405" spans="1:6" ht="18" customHeight="1">
      <c r="A3405" s="4" t="s">
        <v>117</v>
      </c>
      <c r="B3405" s="4" t="str">
        <f>"2020032630"</f>
        <v>2020032630</v>
      </c>
      <c r="C3405" s="5">
        <v>0</v>
      </c>
      <c r="D3405" s="6">
        <v>0</v>
      </c>
      <c r="E3405" s="7">
        <f t="shared" si="53"/>
        <v>0</v>
      </c>
      <c r="F3405" s="8" t="s">
        <v>8</v>
      </c>
    </row>
    <row r="3406" spans="1:6" ht="18" customHeight="1">
      <c r="A3406" s="4" t="s">
        <v>117</v>
      </c>
      <c r="B3406" s="4" t="str">
        <f>"2020041002"</f>
        <v>2020041002</v>
      </c>
      <c r="C3406" s="5">
        <v>0</v>
      </c>
      <c r="D3406" s="6">
        <v>0</v>
      </c>
      <c r="E3406" s="7">
        <f t="shared" si="53"/>
        <v>0</v>
      </c>
      <c r="F3406" s="8" t="s">
        <v>8</v>
      </c>
    </row>
    <row r="3407" spans="1:6" ht="18" customHeight="1">
      <c r="A3407" s="4" t="s">
        <v>117</v>
      </c>
      <c r="B3407" s="4" t="str">
        <f>"2020041320"</f>
        <v>2020041320</v>
      </c>
      <c r="C3407" s="5">
        <v>0</v>
      </c>
      <c r="D3407" s="6">
        <v>0</v>
      </c>
      <c r="E3407" s="7">
        <f t="shared" si="53"/>
        <v>0</v>
      </c>
      <c r="F3407" s="8" t="s">
        <v>8</v>
      </c>
    </row>
    <row r="3408" spans="1:6" ht="18" customHeight="1">
      <c r="A3408" s="4" t="s">
        <v>117</v>
      </c>
      <c r="B3408" s="4" t="str">
        <f>"2020044023"</f>
        <v>2020044023</v>
      </c>
      <c r="C3408" s="5">
        <v>0</v>
      </c>
      <c r="D3408" s="6">
        <v>0</v>
      </c>
      <c r="E3408" s="7">
        <f t="shared" si="53"/>
        <v>0</v>
      </c>
      <c r="F3408" s="8" t="s">
        <v>8</v>
      </c>
    </row>
    <row r="3409" spans="1:6" ht="18" customHeight="1">
      <c r="A3409" s="4" t="s">
        <v>118</v>
      </c>
      <c r="B3409" s="4" t="str">
        <f>"2020032309"</f>
        <v>2020032309</v>
      </c>
      <c r="C3409" s="5">
        <v>79.900000000000006</v>
      </c>
      <c r="D3409" s="6">
        <v>77</v>
      </c>
      <c r="E3409" s="7">
        <f t="shared" si="53"/>
        <v>156.9</v>
      </c>
      <c r="F3409" s="8"/>
    </row>
    <row r="3410" spans="1:6" ht="18" customHeight="1">
      <c r="A3410" s="4" t="s">
        <v>118</v>
      </c>
      <c r="B3410" s="4" t="str">
        <f>"2020011813"</f>
        <v>2020011813</v>
      </c>
      <c r="C3410" s="5">
        <v>71.8</v>
      </c>
      <c r="D3410" s="6">
        <v>73</v>
      </c>
      <c r="E3410" s="7">
        <f t="shared" si="53"/>
        <v>144.80000000000001</v>
      </c>
      <c r="F3410" s="8"/>
    </row>
    <row r="3411" spans="1:6" ht="18" customHeight="1">
      <c r="A3411" s="4" t="s">
        <v>118</v>
      </c>
      <c r="B3411" s="4" t="str">
        <f>"2020033002"</f>
        <v>2020033002</v>
      </c>
      <c r="C3411" s="5">
        <v>59.1</v>
      </c>
      <c r="D3411" s="6">
        <v>79</v>
      </c>
      <c r="E3411" s="7">
        <f t="shared" si="53"/>
        <v>138.1</v>
      </c>
      <c r="F3411" s="8"/>
    </row>
    <row r="3412" spans="1:6" ht="18" customHeight="1">
      <c r="A3412" s="4" t="s">
        <v>118</v>
      </c>
      <c r="B3412" s="4" t="str">
        <f>"2020043217"</f>
        <v>2020043217</v>
      </c>
      <c r="C3412" s="5">
        <v>70.900000000000006</v>
      </c>
      <c r="D3412" s="6">
        <v>63.5</v>
      </c>
      <c r="E3412" s="7">
        <f t="shared" si="53"/>
        <v>134.4</v>
      </c>
      <c r="F3412" s="8"/>
    </row>
    <row r="3413" spans="1:6" ht="18" customHeight="1">
      <c r="A3413" s="4" t="s">
        <v>118</v>
      </c>
      <c r="B3413" s="4" t="str">
        <f>"2020044829"</f>
        <v>2020044829</v>
      </c>
      <c r="C3413" s="5">
        <v>69</v>
      </c>
      <c r="D3413" s="6">
        <v>65</v>
      </c>
      <c r="E3413" s="7">
        <f t="shared" si="53"/>
        <v>134</v>
      </c>
      <c r="F3413" s="8"/>
    </row>
    <row r="3414" spans="1:6" ht="18" customHeight="1">
      <c r="A3414" s="4" t="s">
        <v>118</v>
      </c>
      <c r="B3414" s="4" t="str">
        <f>"2020047328"</f>
        <v>2020047328</v>
      </c>
      <c r="C3414" s="5">
        <v>60.8</v>
      </c>
      <c r="D3414" s="6">
        <v>67.5</v>
      </c>
      <c r="E3414" s="7">
        <f t="shared" si="53"/>
        <v>128.30000000000001</v>
      </c>
      <c r="F3414" s="8"/>
    </row>
    <row r="3415" spans="1:6" ht="18" customHeight="1">
      <c r="A3415" s="4" t="s">
        <v>118</v>
      </c>
      <c r="B3415" s="4" t="str">
        <f>"2020013526"</f>
        <v>2020013526</v>
      </c>
      <c r="C3415" s="5">
        <v>47.9</v>
      </c>
      <c r="D3415" s="6">
        <v>48.5</v>
      </c>
      <c r="E3415" s="7">
        <f t="shared" si="53"/>
        <v>96.4</v>
      </c>
      <c r="F3415" s="8"/>
    </row>
    <row r="3416" spans="1:6" ht="18" customHeight="1">
      <c r="A3416" s="4" t="s">
        <v>118</v>
      </c>
      <c r="B3416" s="4" t="str">
        <f>"2020031103"</f>
        <v>2020031103</v>
      </c>
      <c r="C3416" s="5">
        <v>0</v>
      </c>
      <c r="D3416" s="6">
        <v>0</v>
      </c>
      <c r="E3416" s="7">
        <f t="shared" si="53"/>
        <v>0</v>
      </c>
      <c r="F3416" s="8" t="s">
        <v>8</v>
      </c>
    </row>
    <row r="3417" spans="1:6" ht="18" customHeight="1">
      <c r="A3417" s="4" t="s">
        <v>118</v>
      </c>
      <c r="B3417" s="4" t="str">
        <f>"2020045724"</f>
        <v>2020045724</v>
      </c>
      <c r="C3417" s="5">
        <v>0</v>
      </c>
      <c r="D3417" s="6">
        <v>0</v>
      </c>
      <c r="E3417" s="7">
        <f t="shared" si="53"/>
        <v>0</v>
      </c>
      <c r="F3417" s="8" t="s">
        <v>8</v>
      </c>
    </row>
    <row r="3418" spans="1:6" ht="18" customHeight="1">
      <c r="A3418" s="4" t="s">
        <v>119</v>
      </c>
      <c r="B3418" s="4" t="str">
        <f>"2020020509"</f>
        <v>2020020509</v>
      </c>
      <c r="C3418" s="5">
        <v>71.5</v>
      </c>
      <c r="D3418" s="6">
        <v>88.5</v>
      </c>
      <c r="E3418" s="7">
        <f t="shared" si="53"/>
        <v>160</v>
      </c>
      <c r="F3418" s="8"/>
    </row>
    <row r="3419" spans="1:6" ht="18" customHeight="1">
      <c r="A3419" s="4" t="s">
        <v>119</v>
      </c>
      <c r="B3419" s="4" t="str">
        <f>"2020011718"</f>
        <v>2020011718</v>
      </c>
      <c r="C3419" s="5">
        <v>68.900000000000006</v>
      </c>
      <c r="D3419" s="6">
        <v>89.5</v>
      </c>
      <c r="E3419" s="7">
        <f t="shared" si="53"/>
        <v>158.4</v>
      </c>
      <c r="F3419" s="8"/>
    </row>
    <row r="3420" spans="1:6" ht="18" customHeight="1">
      <c r="A3420" s="4" t="s">
        <v>119</v>
      </c>
      <c r="B3420" s="4" t="str">
        <f>"2020013018"</f>
        <v>2020013018</v>
      </c>
      <c r="C3420" s="5">
        <v>71</v>
      </c>
      <c r="D3420" s="6">
        <v>83.5</v>
      </c>
      <c r="E3420" s="7">
        <f t="shared" si="53"/>
        <v>154.5</v>
      </c>
      <c r="F3420" s="8"/>
    </row>
    <row r="3421" spans="1:6" ht="18" customHeight="1">
      <c r="A3421" s="4" t="s">
        <v>119</v>
      </c>
      <c r="B3421" s="4" t="str">
        <f>"2020033920"</f>
        <v>2020033920</v>
      </c>
      <c r="C3421" s="5">
        <v>72.3</v>
      </c>
      <c r="D3421" s="6">
        <v>79.5</v>
      </c>
      <c r="E3421" s="7">
        <f t="shared" si="53"/>
        <v>151.80000000000001</v>
      </c>
      <c r="F3421" s="8"/>
    </row>
    <row r="3422" spans="1:6" ht="18" customHeight="1">
      <c r="A3422" s="4" t="s">
        <v>119</v>
      </c>
      <c r="B3422" s="4" t="str">
        <f>"2020030322"</f>
        <v>2020030322</v>
      </c>
      <c r="C3422" s="5">
        <v>64.3</v>
      </c>
      <c r="D3422" s="6">
        <v>86</v>
      </c>
      <c r="E3422" s="7">
        <f t="shared" si="53"/>
        <v>150.30000000000001</v>
      </c>
      <c r="F3422" s="8"/>
    </row>
    <row r="3423" spans="1:6" ht="18" customHeight="1">
      <c r="A3423" s="4" t="s">
        <v>119</v>
      </c>
      <c r="B3423" s="4" t="str">
        <f>"2020041915"</f>
        <v>2020041915</v>
      </c>
      <c r="C3423" s="5">
        <v>73.3</v>
      </c>
      <c r="D3423" s="6">
        <v>73.5</v>
      </c>
      <c r="E3423" s="7">
        <f t="shared" si="53"/>
        <v>146.80000000000001</v>
      </c>
      <c r="F3423" s="8"/>
    </row>
    <row r="3424" spans="1:6" ht="18" customHeight="1">
      <c r="A3424" s="4" t="s">
        <v>119</v>
      </c>
      <c r="B3424" s="4" t="str">
        <f>"2020013627"</f>
        <v>2020013627</v>
      </c>
      <c r="C3424" s="5">
        <v>64.5</v>
      </c>
      <c r="D3424" s="6">
        <v>82</v>
      </c>
      <c r="E3424" s="7">
        <f t="shared" si="53"/>
        <v>146.5</v>
      </c>
      <c r="F3424" s="8"/>
    </row>
    <row r="3425" spans="1:6" ht="18" customHeight="1">
      <c r="A3425" s="4" t="s">
        <v>119</v>
      </c>
      <c r="B3425" s="4" t="str">
        <f>"2020044703"</f>
        <v>2020044703</v>
      </c>
      <c r="C3425" s="5">
        <v>78.5</v>
      </c>
      <c r="D3425" s="6">
        <v>67.5</v>
      </c>
      <c r="E3425" s="7">
        <f t="shared" si="53"/>
        <v>146</v>
      </c>
      <c r="F3425" s="8"/>
    </row>
    <row r="3426" spans="1:6" ht="18" customHeight="1">
      <c r="A3426" s="4" t="s">
        <v>119</v>
      </c>
      <c r="B3426" s="4" t="str">
        <f>"2020022327"</f>
        <v>2020022327</v>
      </c>
      <c r="C3426" s="5">
        <v>72</v>
      </c>
      <c r="D3426" s="6">
        <v>72.5</v>
      </c>
      <c r="E3426" s="7">
        <f t="shared" si="53"/>
        <v>144.5</v>
      </c>
      <c r="F3426" s="8"/>
    </row>
    <row r="3427" spans="1:6" ht="18" customHeight="1">
      <c r="A3427" s="4" t="s">
        <v>119</v>
      </c>
      <c r="B3427" s="4" t="str">
        <f>"2020031507"</f>
        <v>2020031507</v>
      </c>
      <c r="C3427" s="5">
        <v>66.599999999999994</v>
      </c>
      <c r="D3427" s="6">
        <v>77.5</v>
      </c>
      <c r="E3427" s="7">
        <f t="shared" si="53"/>
        <v>144.1</v>
      </c>
      <c r="F3427" s="8"/>
    </row>
    <row r="3428" spans="1:6" ht="18" customHeight="1">
      <c r="A3428" s="4" t="s">
        <v>119</v>
      </c>
      <c r="B3428" s="4" t="str">
        <f>"2020040408"</f>
        <v>2020040408</v>
      </c>
      <c r="C3428" s="5">
        <v>69.400000000000006</v>
      </c>
      <c r="D3428" s="6">
        <v>74.5</v>
      </c>
      <c r="E3428" s="7">
        <f t="shared" si="53"/>
        <v>143.9</v>
      </c>
      <c r="F3428" s="8"/>
    </row>
    <row r="3429" spans="1:6" ht="18" customHeight="1">
      <c r="A3429" s="4" t="s">
        <v>119</v>
      </c>
      <c r="B3429" s="4" t="str">
        <f>"2020032524"</f>
        <v>2020032524</v>
      </c>
      <c r="C3429" s="5">
        <v>69.7</v>
      </c>
      <c r="D3429" s="6">
        <v>74</v>
      </c>
      <c r="E3429" s="7">
        <f t="shared" si="53"/>
        <v>143.69999999999999</v>
      </c>
      <c r="F3429" s="8"/>
    </row>
    <row r="3430" spans="1:6" ht="18" customHeight="1">
      <c r="A3430" s="4" t="s">
        <v>119</v>
      </c>
      <c r="B3430" s="4" t="str">
        <f>"2020030401"</f>
        <v>2020030401</v>
      </c>
      <c r="C3430" s="5">
        <v>68</v>
      </c>
      <c r="D3430" s="6">
        <v>75</v>
      </c>
      <c r="E3430" s="7">
        <f t="shared" si="53"/>
        <v>143</v>
      </c>
      <c r="F3430" s="8"/>
    </row>
    <row r="3431" spans="1:6" ht="18" customHeight="1">
      <c r="A3431" s="4" t="s">
        <v>119</v>
      </c>
      <c r="B3431" s="4" t="str">
        <f>"2020044716"</f>
        <v>2020044716</v>
      </c>
      <c r="C3431" s="5">
        <v>71.099999999999994</v>
      </c>
      <c r="D3431" s="6">
        <v>71.5</v>
      </c>
      <c r="E3431" s="7">
        <f t="shared" si="53"/>
        <v>142.6</v>
      </c>
      <c r="F3431" s="8"/>
    </row>
    <row r="3432" spans="1:6" ht="18" customHeight="1">
      <c r="A3432" s="4" t="s">
        <v>119</v>
      </c>
      <c r="B3432" s="4" t="str">
        <f>"2020022630"</f>
        <v>2020022630</v>
      </c>
      <c r="C3432" s="5">
        <v>66.900000000000006</v>
      </c>
      <c r="D3432" s="6">
        <v>75.5</v>
      </c>
      <c r="E3432" s="7">
        <f t="shared" si="53"/>
        <v>142.4</v>
      </c>
      <c r="F3432" s="8"/>
    </row>
    <row r="3433" spans="1:6" ht="18" customHeight="1">
      <c r="A3433" s="4" t="s">
        <v>119</v>
      </c>
      <c r="B3433" s="4" t="str">
        <f>"2020030817"</f>
        <v>2020030817</v>
      </c>
      <c r="C3433" s="5">
        <v>70.7</v>
      </c>
      <c r="D3433" s="6">
        <v>70.5</v>
      </c>
      <c r="E3433" s="7">
        <f t="shared" si="53"/>
        <v>141.19999999999999</v>
      </c>
      <c r="F3433" s="8"/>
    </row>
    <row r="3434" spans="1:6" ht="18" customHeight="1">
      <c r="A3434" s="4" t="s">
        <v>119</v>
      </c>
      <c r="B3434" s="4" t="str">
        <f>"2020040610"</f>
        <v>2020040610</v>
      </c>
      <c r="C3434" s="5">
        <v>70.599999999999994</v>
      </c>
      <c r="D3434" s="6">
        <v>70.5</v>
      </c>
      <c r="E3434" s="7">
        <f t="shared" si="53"/>
        <v>141.1</v>
      </c>
      <c r="F3434" s="8"/>
    </row>
    <row r="3435" spans="1:6" ht="18" customHeight="1">
      <c r="A3435" s="4" t="s">
        <v>119</v>
      </c>
      <c r="B3435" s="4" t="str">
        <f>"2020047219"</f>
        <v>2020047219</v>
      </c>
      <c r="C3435" s="5">
        <v>70.099999999999994</v>
      </c>
      <c r="D3435" s="6">
        <v>69.5</v>
      </c>
      <c r="E3435" s="7">
        <f t="shared" si="53"/>
        <v>139.6</v>
      </c>
      <c r="F3435" s="8"/>
    </row>
    <row r="3436" spans="1:6" ht="18" customHeight="1">
      <c r="A3436" s="4" t="s">
        <v>119</v>
      </c>
      <c r="B3436" s="4" t="str">
        <f>"2020010120"</f>
        <v>2020010120</v>
      </c>
      <c r="C3436" s="5">
        <v>71.900000000000006</v>
      </c>
      <c r="D3436" s="6">
        <v>66.5</v>
      </c>
      <c r="E3436" s="7">
        <f t="shared" si="53"/>
        <v>138.4</v>
      </c>
      <c r="F3436" s="8"/>
    </row>
    <row r="3437" spans="1:6" ht="18" customHeight="1">
      <c r="A3437" s="4" t="s">
        <v>119</v>
      </c>
      <c r="B3437" s="4" t="str">
        <f>"2020042430"</f>
        <v>2020042430</v>
      </c>
      <c r="C3437" s="5">
        <v>70.7</v>
      </c>
      <c r="D3437" s="6">
        <v>67.5</v>
      </c>
      <c r="E3437" s="7">
        <f t="shared" si="53"/>
        <v>138.19999999999999</v>
      </c>
      <c r="F3437" s="8"/>
    </row>
    <row r="3438" spans="1:6" ht="18" customHeight="1">
      <c r="A3438" s="4" t="s">
        <v>119</v>
      </c>
      <c r="B3438" s="4" t="str">
        <f>"2020024601"</f>
        <v>2020024601</v>
      </c>
      <c r="C3438" s="5">
        <v>69.599999999999994</v>
      </c>
      <c r="D3438" s="6">
        <v>66</v>
      </c>
      <c r="E3438" s="7">
        <f t="shared" si="53"/>
        <v>135.6</v>
      </c>
      <c r="F3438" s="8"/>
    </row>
    <row r="3439" spans="1:6" ht="18" customHeight="1">
      <c r="A3439" s="4" t="s">
        <v>119</v>
      </c>
      <c r="B3439" s="4" t="str">
        <f>"2020044327"</f>
        <v>2020044327</v>
      </c>
      <c r="C3439" s="5">
        <v>75.5</v>
      </c>
      <c r="D3439" s="6">
        <v>60</v>
      </c>
      <c r="E3439" s="7">
        <f t="shared" si="53"/>
        <v>135.5</v>
      </c>
      <c r="F3439" s="8"/>
    </row>
    <row r="3440" spans="1:6" ht="18" customHeight="1">
      <c r="A3440" s="4" t="s">
        <v>119</v>
      </c>
      <c r="B3440" s="4" t="str">
        <f>"2020043110"</f>
        <v>2020043110</v>
      </c>
      <c r="C3440" s="5">
        <v>67.099999999999994</v>
      </c>
      <c r="D3440" s="6">
        <v>68</v>
      </c>
      <c r="E3440" s="7">
        <f t="shared" si="53"/>
        <v>135.1</v>
      </c>
      <c r="F3440" s="8"/>
    </row>
    <row r="3441" spans="1:6" ht="18" customHeight="1">
      <c r="A3441" s="4" t="s">
        <v>119</v>
      </c>
      <c r="B3441" s="4" t="str">
        <f>"2020041212"</f>
        <v>2020041212</v>
      </c>
      <c r="C3441" s="5">
        <v>65.8</v>
      </c>
      <c r="D3441" s="6">
        <v>68</v>
      </c>
      <c r="E3441" s="7">
        <f t="shared" si="53"/>
        <v>133.80000000000001</v>
      </c>
      <c r="F3441" s="8"/>
    </row>
    <row r="3442" spans="1:6" ht="18" customHeight="1">
      <c r="A3442" s="4" t="s">
        <v>119</v>
      </c>
      <c r="B3442" s="4" t="str">
        <f>"2020046627"</f>
        <v>2020046627</v>
      </c>
      <c r="C3442" s="5">
        <v>63.8</v>
      </c>
      <c r="D3442" s="6">
        <v>69.5</v>
      </c>
      <c r="E3442" s="7">
        <f t="shared" si="53"/>
        <v>133.30000000000001</v>
      </c>
      <c r="F3442" s="8"/>
    </row>
    <row r="3443" spans="1:6" ht="18" customHeight="1">
      <c r="A3443" s="4" t="s">
        <v>119</v>
      </c>
      <c r="B3443" s="4" t="str">
        <f>"2020045906"</f>
        <v>2020045906</v>
      </c>
      <c r="C3443" s="5">
        <v>62.1</v>
      </c>
      <c r="D3443" s="6">
        <v>70</v>
      </c>
      <c r="E3443" s="7">
        <f t="shared" si="53"/>
        <v>132.1</v>
      </c>
      <c r="F3443" s="8"/>
    </row>
    <row r="3444" spans="1:6" ht="18" customHeight="1">
      <c r="A3444" s="4" t="s">
        <v>119</v>
      </c>
      <c r="B3444" s="4" t="str">
        <f>"2020041713"</f>
        <v>2020041713</v>
      </c>
      <c r="C3444" s="5">
        <v>73.2</v>
      </c>
      <c r="D3444" s="6">
        <v>58</v>
      </c>
      <c r="E3444" s="7">
        <f t="shared" si="53"/>
        <v>131.19999999999999</v>
      </c>
      <c r="F3444" s="8"/>
    </row>
    <row r="3445" spans="1:6" ht="18" customHeight="1">
      <c r="A3445" s="4" t="s">
        <v>119</v>
      </c>
      <c r="B3445" s="4" t="str">
        <f>"2020020427"</f>
        <v>2020020427</v>
      </c>
      <c r="C3445" s="5">
        <v>65.3</v>
      </c>
      <c r="D3445" s="6">
        <v>65</v>
      </c>
      <c r="E3445" s="7">
        <f t="shared" si="53"/>
        <v>130.30000000000001</v>
      </c>
      <c r="F3445" s="8"/>
    </row>
    <row r="3446" spans="1:6" ht="18" customHeight="1">
      <c r="A3446" s="4" t="s">
        <v>119</v>
      </c>
      <c r="B3446" s="4" t="str">
        <f>"2020033415"</f>
        <v>2020033415</v>
      </c>
      <c r="C3446" s="5">
        <v>63.8</v>
      </c>
      <c r="D3446" s="6">
        <v>66</v>
      </c>
      <c r="E3446" s="7">
        <f t="shared" si="53"/>
        <v>129.80000000000001</v>
      </c>
      <c r="F3446" s="8"/>
    </row>
    <row r="3447" spans="1:6" ht="18" customHeight="1">
      <c r="A3447" s="4" t="s">
        <v>119</v>
      </c>
      <c r="B3447" s="4" t="str">
        <f>"2020020807"</f>
        <v>2020020807</v>
      </c>
      <c r="C3447" s="5">
        <v>63.7</v>
      </c>
      <c r="D3447" s="6">
        <v>64.5</v>
      </c>
      <c r="E3447" s="7">
        <f t="shared" si="53"/>
        <v>128.19999999999999</v>
      </c>
      <c r="F3447" s="8"/>
    </row>
    <row r="3448" spans="1:6" ht="18" customHeight="1">
      <c r="A3448" s="4" t="s">
        <v>119</v>
      </c>
      <c r="B3448" s="4" t="str">
        <f>"2020041204"</f>
        <v>2020041204</v>
      </c>
      <c r="C3448" s="5">
        <v>71</v>
      </c>
      <c r="D3448" s="6">
        <v>57</v>
      </c>
      <c r="E3448" s="7">
        <f t="shared" si="53"/>
        <v>128</v>
      </c>
      <c r="F3448" s="8"/>
    </row>
    <row r="3449" spans="1:6" ht="18" customHeight="1">
      <c r="A3449" s="4" t="s">
        <v>119</v>
      </c>
      <c r="B3449" s="4" t="str">
        <f>"2020041305"</f>
        <v>2020041305</v>
      </c>
      <c r="C3449" s="5">
        <v>66.900000000000006</v>
      </c>
      <c r="D3449" s="6">
        <v>61</v>
      </c>
      <c r="E3449" s="7">
        <f t="shared" si="53"/>
        <v>127.9</v>
      </c>
      <c r="F3449" s="8"/>
    </row>
    <row r="3450" spans="1:6" ht="18" customHeight="1">
      <c r="A3450" s="4" t="s">
        <v>119</v>
      </c>
      <c r="B3450" s="4" t="str">
        <f>"2020042915"</f>
        <v>2020042915</v>
      </c>
      <c r="C3450" s="5">
        <v>65.7</v>
      </c>
      <c r="D3450" s="6">
        <v>59.5</v>
      </c>
      <c r="E3450" s="7">
        <f t="shared" si="53"/>
        <v>125.2</v>
      </c>
      <c r="F3450" s="8"/>
    </row>
    <row r="3451" spans="1:6" ht="18" customHeight="1">
      <c r="A3451" s="4" t="s">
        <v>119</v>
      </c>
      <c r="B3451" s="4" t="str">
        <f>"2020021120"</f>
        <v>2020021120</v>
      </c>
      <c r="C3451" s="5">
        <v>64.7</v>
      </c>
      <c r="D3451" s="6">
        <v>60.5</v>
      </c>
      <c r="E3451" s="7">
        <f t="shared" si="53"/>
        <v>125.2</v>
      </c>
      <c r="F3451" s="8"/>
    </row>
    <row r="3452" spans="1:6" ht="18" customHeight="1">
      <c r="A3452" s="4" t="s">
        <v>119</v>
      </c>
      <c r="B3452" s="4" t="str">
        <f>"2020012728"</f>
        <v>2020012728</v>
      </c>
      <c r="C3452" s="5">
        <v>62.9</v>
      </c>
      <c r="D3452" s="6">
        <v>61.5</v>
      </c>
      <c r="E3452" s="7">
        <f t="shared" si="53"/>
        <v>124.4</v>
      </c>
      <c r="F3452" s="8"/>
    </row>
    <row r="3453" spans="1:6" ht="18" customHeight="1">
      <c r="A3453" s="4" t="s">
        <v>119</v>
      </c>
      <c r="B3453" s="4" t="str">
        <f>"2020022908"</f>
        <v>2020022908</v>
      </c>
      <c r="C3453" s="5">
        <v>61.8</v>
      </c>
      <c r="D3453" s="6">
        <v>61.5</v>
      </c>
      <c r="E3453" s="7">
        <f t="shared" si="53"/>
        <v>123.3</v>
      </c>
      <c r="F3453" s="8"/>
    </row>
    <row r="3454" spans="1:6" ht="18" customHeight="1">
      <c r="A3454" s="4" t="s">
        <v>119</v>
      </c>
      <c r="B3454" s="4" t="str">
        <f>"2020012910"</f>
        <v>2020012910</v>
      </c>
      <c r="C3454" s="5">
        <v>60.1</v>
      </c>
      <c r="D3454" s="6">
        <v>63</v>
      </c>
      <c r="E3454" s="7">
        <f t="shared" si="53"/>
        <v>123.1</v>
      </c>
      <c r="F3454" s="8"/>
    </row>
    <row r="3455" spans="1:6" ht="18" customHeight="1">
      <c r="A3455" s="4" t="s">
        <v>119</v>
      </c>
      <c r="B3455" s="4" t="str">
        <f>"2020023413"</f>
        <v>2020023413</v>
      </c>
      <c r="C3455" s="5">
        <v>70.400000000000006</v>
      </c>
      <c r="D3455" s="6">
        <v>52.5</v>
      </c>
      <c r="E3455" s="7">
        <f t="shared" si="53"/>
        <v>122.9</v>
      </c>
      <c r="F3455" s="8"/>
    </row>
    <row r="3456" spans="1:6" ht="18" customHeight="1">
      <c r="A3456" s="4" t="s">
        <v>119</v>
      </c>
      <c r="B3456" s="4" t="str">
        <f>"2020045010"</f>
        <v>2020045010</v>
      </c>
      <c r="C3456" s="5">
        <v>67.7</v>
      </c>
      <c r="D3456" s="6">
        <v>55</v>
      </c>
      <c r="E3456" s="7">
        <f t="shared" si="53"/>
        <v>122.7</v>
      </c>
      <c r="F3456" s="8" t="s">
        <v>13</v>
      </c>
    </row>
    <row r="3457" spans="1:6" ht="18" customHeight="1">
      <c r="A3457" s="4" t="s">
        <v>119</v>
      </c>
      <c r="B3457" s="4" t="str">
        <f>"2020012924"</f>
        <v>2020012924</v>
      </c>
      <c r="C3457" s="5">
        <v>63.2</v>
      </c>
      <c r="D3457" s="6">
        <v>59</v>
      </c>
      <c r="E3457" s="7">
        <f t="shared" si="53"/>
        <v>122.2</v>
      </c>
      <c r="F3457" s="8"/>
    </row>
    <row r="3458" spans="1:6" ht="18" customHeight="1">
      <c r="A3458" s="4" t="s">
        <v>119</v>
      </c>
      <c r="B3458" s="4" t="str">
        <f>"2020030208"</f>
        <v>2020030208</v>
      </c>
      <c r="C3458" s="5">
        <v>56.4</v>
      </c>
      <c r="D3458" s="6">
        <v>64.5</v>
      </c>
      <c r="E3458" s="7">
        <f t="shared" si="53"/>
        <v>120.9</v>
      </c>
      <c r="F3458" s="8"/>
    </row>
    <row r="3459" spans="1:6" ht="18" customHeight="1">
      <c r="A3459" s="4" t="s">
        <v>119</v>
      </c>
      <c r="B3459" s="4" t="str">
        <f>"2020013204"</f>
        <v>2020013204</v>
      </c>
      <c r="C3459" s="5">
        <v>57.5</v>
      </c>
      <c r="D3459" s="6">
        <v>63</v>
      </c>
      <c r="E3459" s="7">
        <f t="shared" ref="E3459:E3522" si="54">SUM(C3459:D3459)</f>
        <v>120.5</v>
      </c>
      <c r="F3459" s="8"/>
    </row>
    <row r="3460" spans="1:6" ht="18" customHeight="1">
      <c r="A3460" s="4" t="s">
        <v>119</v>
      </c>
      <c r="B3460" s="4" t="str">
        <f>"2020013723"</f>
        <v>2020013723</v>
      </c>
      <c r="C3460" s="5">
        <v>55.2</v>
      </c>
      <c r="D3460" s="6">
        <v>57</v>
      </c>
      <c r="E3460" s="7">
        <f t="shared" si="54"/>
        <v>112.2</v>
      </c>
      <c r="F3460" s="8"/>
    </row>
    <row r="3461" spans="1:6" ht="18" customHeight="1">
      <c r="A3461" s="4" t="s">
        <v>119</v>
      </c>
      <c r="B3461" s="4" t="str">
        <f>"2020010813"</f>
        <v>2020010813</v>
      </c>
      <c r="C3461" s="5">
        <v>57</v>
      </c>
      <c r="D3461" s="6">
        <v>54</v>
      </c>
      <c r="E3461" s="7">
        <f t="shared" si="54"/>
        <v>111</v>
      </c>
      <c r="F3461" s="8"/>
    </row>
    <row r="3462" spans="1:6" ht="18" customHeight="1">
      <c r="A3462" s="4" t="s">
        <v>119</v>
      </c>
      <c r="B3462" s="4" t="str">
        <f>"2020044810"</f>
        <v>2020044810</v>
      </c>
      <c r="C3462" s="5">
        <v>57</v>
      </c>
      <c r="D3462" s="6">
        <v>52.5</v>
      </c>
      <c r="E3462" s="7">
        <f t="shared" si="54"/>
        <v>109.5</v>
      </c>
      <c r="F3462" s="8"/>
    </row>
    <row r="3463" spans="1:6" ht="18" customHeight="1">
      <c r="A3463" s="4" t="s">
        <v>119</v>
      </c>
      <c r="B3463" s="4" t="str">
        <f>"2020013426"</f>
        <v>2020013426</v>
      </c>
      <c r="C3463" s="5">
        <v>59.1</v>
      </c>
      <c r="D3463" s="6">
        <v>44.5</v>
      </c>
      <c r="E3463" s="7">
        <f t="shared" si="54"/>
        <v>103.6</v>
      </c>
      <c r="F3463" s="8"/>
    </row>
    <row r="3464" spans="1:6" ht="18" customHeight="1">
      <c r="A3464" s="4" t="s">
        <v>119</v>
      </c>
      <c r="B3464" s="4" t="str">
        <f>"2020013117"</f>
        <v>2020013117</v>
      </c>
      <c r="C3464" s="5">
        <v>0</v>
      </c>
      <c r="D3464" s="6">
        <v>0</v>
      </c>
      <c r="E3464" s="7">
        <f t="shared" si="54"/>
        <v>0</v>
      </c>
      <c r="F3464" s="9" t="s">
        <v>8</v>
      </c>
    </row>
    <row r="3465" spans="1:6" ht="18" customHeight="1">
      <c r="A3465" s="4" t="s">
        <v>119</v>
      </c>
      <c r="B3465" s="4" t="str">
        <f>"2020021028"</f>
        <v>2020021028</v>
      </c>
      <c r="C3465" s="5">
        <v>0</v>
      </c>
      <c r="D3465" s="6">
        <v>0</v>
      </c>
      <c r="E3465" s="7">
        <f t="shared" si="54"/>
        <v>0</v>
      </c>
      <c r="F3465" s="8" t="s">
        <v>8</v>
      </c>
    </row>
    <row r="3466" spans="1:6" ht="18" customHeight="1">
      <c r="A3466" s="4" t="s">
        <v>119</v>
      </c>
      <c r="B3466" s="4" t="str">
        <f>"2020021323"</f>
        <v>2020021323</v>
      </c>
      <c r="C3466" s="5">
        <v>0</v>
      </c>
      <c r="D3466" s="6">
        <v>0</v>
      </c>
      <c r="E3466" s="7">
        <f t="shared" si="54"/>
        <v>0</v>
      </c>
      <c r="F3466" s="8" t="s">
        <v>8</v>
      </c>
    </row>
    <row r="3467" spans="1:6" ht="18" customHeight="1">
      <c r="A3467" s="4" t="s">
        <v>119</v>
      </c>
      <c r="B3467" s="4" t="str">
        <f>"2020021920"</f>
        <v>2020021920</v>
      </c>
      <c r="C3467" s="5">
        <v>0</v>
      </c>
      <c r="D3467" s="6">
        <v>0</v>
      </c>
      <c r="E3467" s="7">
        <f t="shared" si="54"/>
        <v>0</v>
      </c>
      <c r="F3467" s="8" t="s">
        <v>8</v>
      </c>
    </row>
    <row r="3468" spans="1:6" ht="18" customHeight="1">
      <c r="A3468" s="4" t="s">
        <v>119</v>
      </c>
      <c r="B3468" s="4" t="str">
        <f>"2020022006"</f>
        <v>2020022006</v>
      </c>
      <c r="C3468" s="5">
        <v>0</v>
      </c>
      <c r="D3468" s="6">
        <v>0</v>
      </c>
      <c r="E3468" s="7">
        <f t="shared" si="54"/>
        <v>0</v>
      </c>
      <c r="F3468" s="8" t="s">
        <v>8</v>
      </c>
    </row>
    <row r="3469" spans="1:6" ht="18" customHeight="1">
      <c r="A3469" s="4" t="s">
        <v>119</v>
      </c>
      <c r="B3469" s="4" t="str">
        <f>"2020032109"</f>
        <v>2020032109</v>
      </c>
      <c r="C3469" s="5">
        <v>0</v>
      </c>
      <c r="D3469" s="6">
        <v>0</v>
      </c>
      <c r="E3469" s="7">
        <f t="shared" si="54"/>
        <v>0</v>
      </c>
      <c r="F3469" s="8" t="s">
        <v>8</v>
      </c>
    </row>
    <row r="3470" spans="1:6" ht="18" customHeight="1">
      <c r="A3470" s="4" t="s">
        <v>119</v>
      </c>
      <c r="B3470" s="4" t="str">
        <f>"2020040303"</f>
        <v>2020040303</v>
      </c>
      <c r="C3470" s="5">
        <v>0</v>
      </c>
      <c r="D3470" s="6">
        <v>0</v>
      </c>
      <c r="E3470" s="7">
        <f t="shared" si="54"/>
        <v>0</v>
      </c>
      <c r="F3470" s="8" t="s">
        <v>8</v>
      </c>
    </row>
    <row r="3471" spans="1:6" ht="18" customHeight="1">
      <c r="A3471" s="4" t="s">
        <v>119</v>
      </c>
      <c r="B3471" s="4" t="str">
        <f>"2020041203"</f>
        <v>2020041203</v>
      </c>
      <c r="C3471" s="5">
        <v>0</v>
      </c>
      <c r="D3471" s="6">
        <v>0</v>
      </c>
      <c r="E3471" s="7">
        <f t="shared" si="54"/>
        <v>0</v>
      </c>
      <c r="F3471" s="8" t="s">
        <v>8</v>
      </c>
    </row>
    <row r="3472" spans="1:6" ht="18" customHeight="1">
      <c r="A3472" s="4" t="s">
        <v>119</v>
      </c>
      <c r="B3472" s="4" t="str">
        <f>"2020042515"</f>
        <v>2020042515</v>
      </c>
      <c r="C3472" s="5">
        <v>0</v>
      </c>
      <c r="D3472" s="6">
        <v>0</v>
      </c>
      <c r="E3472" s="7">
        <f t="shared" si="54"/>
        <v>0</v>
      </c>
      <c r="F3472" s="8" t="s">
        <v>8</v>
      </c>
    </row>
    <row r="3473" spans="1:6" ht="18" customHeight="1">
      <c r="A3473" s="4" t="s">
        <v>119</v>
      </c>
      <c r="B3473" s="4" t="str">
        <f>"2020043102"</f>
        <v>2020043102</v>
      </c>
      <c r="C3473" s="5">
        <v>0</v>
      </c>
      <c r="D3473" s="6">
        <v>0</v>
      </c>
      <c r="E3473" s="7">
        <f t="shared" si="54"/>
        <v>0</v>
      </c>
      <c r="F3473" s="8" t="s">
        <v>8</v>
      </c>
    </row>
    <row r="3474" spans="1:6" ht="18" customHeight="1">
      <c r="A3474" s="4" t="s">
        <v>119</v>
      </c>
      <c r="B3474" s="4" t="str">
        <f>"2020047303"</f>
        <v>2020047303</v>
      </c>
      <c r="C3474" s="5">
        <v>0</v>
      </c>
      <c r="D3474" s="6">
        <v>0</v>
      </c>
      <c r="E3474" s="7">
        <f t="shared" si="54"/>
        <v>0</v>
      </c>
      <c r="F3474" s="8" t="s">
        <v>8</v>
      </c>
    </row>
    <row r="3475" spans="1:6" ht="18" customHeight="1">
      <c r="A3475" s="4" t="s">
        <v>120</v>
      </c>
      <c r="B3475" s="4" t="str">
        <f>"2020046415"</f>
        <v>2020046415</v>
      </c>
      <c r="C3475" s="5">
        <v>79.3</v>
      </c>
      <c r="D3475" s="6">
        <v>86</v>
      </c>
      <c r="E3475" s="7">
        <f t="shared" si="54"/>
        <v>165.3</v>
      </c>
      <c r="F3475" s="8"/>
    </row>
    <row r="3476" spans="1:6" ht="18" customHeight="1">
      <c r="A3476" s="4" t="s">
        <v>120</v>
      </c>
      <c r="B3476" s="4" t="str">
        <f>"2020041503"</f>
        <v>2020041503</v>
      </c>
      <c r="C3476" s="5">
        <v>71.099999999999994</v>
      </c>
      <c r="D3476" s="6">
        <v>84.5</v>
      </c>
      <c r="E3476" s="7">
        <f t="shared" si="54"/>
        <v>155.6</v>
      </c>
      <c r="F3476" s="8"/>
    </row>
    <row r="3477" spans="1:6" ht="18" customHeight="1">
      <c r="A3477" s="4" t="s">
        <v>120</v>
      </c>
      <c r="B3477" s="4" t="str">
        <f>"2020044128"</f>
        <v>2020044128</v>
      </c>
      <c r="C3477" s="5">
        <v>74.599999999999994</v>
      </c>
      <c r="D3477" s="6">
        <v>80</v>
      </c>
      <c r="E3477" s="7">
        <f t="shared" si="54"/>
        <v>154.6</v>
      </c>
      <c r="F3477" s="8"/>
    </row>
    <row r="3478" spans="1:6" ht="18" customHeight="1">
      <c r="A3478" s="4" t="s">
        <v>120</v>
      </c>
      <c r="B3478" s="4" t="str">
        <f>"2020023417"</f>
        <v>2020023417</v>
      </c>
      <c r="C3478" s="5">
        <v>76.5</v>
      </c>
      <c r="D3478" s="6">
        <v>78</v>
      </c>
      <c r="E3478" s="7">
        <f t="shared" si="54"/>
        <v>154.5</v>
      </c>
      <c r="F3478" s="8"/>
    </row>
    <row r="3479" spans="1:6" ht="18" customHeight="1">
      <c r="A3479" s="4" t="s">
        <v>120</v>
      </c>
      <c r="B3479" s="4" t="str">
        <f>"2020040503"</f>
        <v>2020040503</v>
      </c>
      <c r="C3479" s="5">
        <v>72.3</v>
      </c>
      <c r="D3479" s="6">
        <v>81.5</v>
      </c>
      <c r="E3479" s="7">
        <f t="shared" si="54"/>
        <v>153.80000000000001</v>
      </c>
      <c r="F3479" s="8"/>
    </row>
    <row r="3480" spans="1:6" ht="18" customHeight="1">
      <c r="A3480" s="4" t="s">
        <v>120</v>
      </c>
      <c r="B3480" s="4" t="str">
        <f>"2020045109"</f>
        <v>2020045109</v>
      </c>
      <c r="C3480" s="5">
        <v>69.7</v>
      </c>
      <c r="D3480" s="6">
        <v>83.5</v>
      </c>
      <c r="E3480" s="7">
        <f t="shared" si="54"/>
        <v>153.19999999999999</v>
      </c>
      <c r="F3480" s="8"/>
    </row>
    <row r="3481" spans="1:6" ht="18" customHeight="1">
      <c r="A3481" s="4" t="s">
        <v>120</v>
      </c>
      <c r="B3481" s="4" t="str">
        <f>"2020020923"</f>
        <v>2020020923</v>
      </c>
      <c r="C3481" s="5">
        <v>70.2</v>
      </c>
      <c r="D3481" s="6">
        <v>81.5</v>
      </c>
      <c r="E3481" s="7">
        <f t="shared" si="54"/>
        <v>151.69999999999999</v>
      </c>
      <c r="F3481" s="8"/>
    </row>
    <row r="3482" spans="1:6" ht="18" customHeight="1">
      <c r="A3482" s="4" t="s">
        <v>120</v>
      </c>
      <c r="B3482" s="4" t="str">
        <f>"2020032516"</f>
        <v>2020032516</v>
      </c>
      <c r="C3482" s="5">
        <v>72.900000000000006</v>
      </c>
      <c r="D3482" s="6">
        <v>77.5</v>
      </c>
      <c r="E3482" s="7">
        <f t="shared" si="54"/>
        <v>150.4</v>
      </c>
      <c r="F3482" s="8"/>
    </row>
    <row r="3483" spans="1:6" ht="18" customHeight="1">
      <c r="A3483" s="4" t="s">
        <v>120</v>
      </c>
      <c r="B3483" s="4" t="str">
        <f>"2020042621"</f>
        <v>2020042621</v>
      </c>
      <c r="C3483" s="5">
        <v>71.8</v>
      </c>
      <c r="D3483" s="6">
        <v>78</v>
      </c>
      <c r="E3483" s="7">
        <f t="shared" si="54"/>
        <v>149.80000000000001</v>
      </c>
      <c r="F3483" s="8"/>
    </row>
    <row r="3484" spans="1:6" ht="18" customHeight="1">
      <c r="A3484" s="4" t="s">
        <v>120</v>
      </c>
      <c r="B3484" s="4" t="str">
        <f>"2020032119"</f>
        <v>2020032119</v>
      </c>
      <c r="C3484" s="5">
        <v>64.3</v>
      </c>
      <c r="D3484" s="6">
        <v>85.5</v>
      </c>
      <c r="E3484" s="7">
        <f t="shared" si="54"/>
        <v>149.80000000000001</v>
      </c>
      <c r="F3484" s="8"/>
    </row>
    <row r="3485" spans="1:6" ht="18" customHeight="1">
      <c r="A3485" s="4" t="s">
        <v>120</v>
      </c>
      <c r="B3485" s="4" t="str">
        <f>"2020043616"</f>
        <v>2020043616</v>
      </c>
      <c r="C3485" s="5">
        <v>72</v>
      </c>
      <c r="D3485" s="6">
        <v>76</v>
      </c>
      <c r="E3485" s="7">
        <f t="shared" si="54"/>
        <v>148</v>
      </c>
      <c r="F3485" s="8"/>
    </row>
    <row r="3486" spans="1:6" ht="18" customHeight="1">
      <c r="A3486" s="4" t="s">
        <v>120</v>
      </c>
      <c r="B3486" s="4" t="str">
        <f>"2020022229"</f>
        <v>2020022229</v>
      </c>
      <c r="C3486" s="5">
        <v>77.900000000000006</v>
      </c>
      <c r="D3486" s="6">
        <v>68.5</v>
      </c>
      <c r="E3486" s="7">
        <f t="shared" si="54"/>
        <v>146.4</v>
      </c>
      <c r="F3486" s="8"/>
    </row>
    <row r="3487" spans="1:6" ht="18" customHeight="1">
      <c r="A3487" s="4" t="s">
        <v>120</v>
      </c>
      <c r="B3487" s="4" t="str">
        <f>"2020032021"</f>
        <v>2020032021</v>
      </c>
      <c r="C3487" s="5">
        <v>70.5</v>
      </c>
      <c r="D3487" s="6">
        <v>73</v>
      </c>
      <c r="E3487" s="7">
        <f t="shared" si="54"/>
        <v>143.5</v>
      </c>
      <c r="F3487" s="8"/>
    </row>
    <row r="3488" spans="1:6" ht="18" customHeight="1">
      <c r="A3488" s="4" t="s">
        <v>120</v>
      </c>
      <c r="B3488" s="4" t="str">
        <f>"2020043019"</f>
        <v>2020043019</v>
      </c>
      <c r="C3488" s="5">
        <v>65.099999999999994</v>
      </c>
      <c r="D3488" s="6">
        <v>77.5</v>
      </c>
      <c r="E3488" s="7">
        <f t="shared" si="54"/>
        <v>142.6</v>
      </c>
      <c r="F3488" s="8"/>
    </row>
    <row r="3489" spans="1:6" ht="18" customHeight="1">
      <c r="A3489" s="4" t="s">
        <v>120</v>
      </c>
      <c r="B3489" s="4" t="str">
        <f>"2020023202"</f>
        <v>2020023202</v>
      </c>
      <c r="C3489" s="5">
        <v>64.400000000000006</v>
      </c>
      <c r="D3489" s="6">
        <v>77.5</v>
      </c>
      <c r="E3489" s="7">
        <f t="shared" si="54"/>
        <v>141.9</v>
      </c>
      <c r="F3489" s="8"/>
    </row>
    <row r="3490" spans="1:6" ht="18" customHeight="1">
      <c r="A3490" s="4" t="s">
        <v>120</v>
      </c>
      <c r="B3490" s="4" t="str">
        <f>"2020046820"</f>
        <v>2020046820</v>
      </c>
      <c r="C3490" s="5">
        <v>61.7</v>
      </c>
      <c r="D3490" s="6">
        <v>80</v>
      </c>
      <c r="E3490" s="7">
        <f t="shared" si="54"/>
        <v>141.69999999999999</v>
      </c>
      <c r="F3490" s="8"/>
    </row>
    <row r="3491" spans="1:6" ht="18" customHeight="1">
      <c r="A3491" s="4" t="s">
        <v>120</v>
      </c>
      <c r="B3491" s="4" t="str">
        <f>"2020024117"</f>
        <v>2020024117</v>
      </c>
      <c r="C3491" s="5">
        <v>71.7</v>
      </c>
      <c r="D3491" s="6">
        <v>68.5</v>
      </c>
      <c r="E3491" s="7">
        <f t="shared" si="54"/>
        <v>140.19999999999999</v>
      </c>
      <c r="F3491" s="8"/>
    </row>
    <row r="3492" spans="1:6" ht="18" customHeight="1">
      <c r="A3492" s="4" t="s">
        <v>120</v>
      </c>
      <c r="B3492" s="4" t="str">
        <f>"2020010204"</f>
        <v>2020010204</v>
      </c>
      <c r="C3492" s="5">
        <v>68.2</v>
      </c>
      <c r="D3492" s="6">
        <v>71</v>
      </c>
      <c r="E3492" s="7">
        <f t="shared" si="54"/>
        <v>139.19999999999999</v>
      </c>
      <c r="F3492" s="8"/>
    </row>
    <row r="3493" spans="1:6" ht="18" customHeight="1">
      <c r="A3493" s="4" t="s">
        <v>120</v>
      </c>
      <c r="B3493" s="4" t="str">
        <f>"2020046301"</f>
        <v>2020046301</v>
      </c>
      <c r="C3493" s="5">
        <v>67.8</v>
      </c>
      <c r="D3493" s="6">
        <v>71</v>
      </c>
      <c r="E3493" s="7">
        <f t="shared" si="54"/>
        <v>138.80000000000001</v>
      </c>
      <c r="F3493" s="8"/>
    </row>
    <row r="3494" spans="1:6" ht="18" customHeight="1">
      <c r="A3494" s="4" t="s">
        <v>120</v>
      </c>
      <c r="B3494" s="4" t="str">
        <f>"2020010902"</f>
        <v>2020010902</v>
      </c>
      <c r="C3494" s="5">
        <v>70.099999999999994</v>
      </c>
      <c r="D3494" s="6">
        <v>68.5</v>
      </c>
      <c r="E3494" s="7">
        <f t="shared" si="54"/>
        <v>138.6</v>
      </c>
      <c r="F3494" s="8"/>
    </row>
    <row r="3495" spans="1:6" ht="18" customHeight="1">
      <c r="A3495" s="4" t="s">
        <v>120</v>
      </c>
      <c r="B3495" s="4" t="str">
        <f>"2020020407"</f>
        <v>2020020407</v>
      </c>
      <c r="C3495" s="5">
        <v>69.099999999999994</v>
      </c>
      <c r="D3495" s="6">
        <v>69.5</v>
      </c>
      <c r="E3495" s="7">
        <f t="shared" si="54"/>
        <v>138.6</v>
      </c>
      <c r="F3495" s="8"/>
    </row>
    <row r="3496" spans="1:6" ht="18" customHeight="1">
      <c r="A3496" s="4" t="s">
        <v>120</v>
      </c>
      <c r="B3496" s="4" t="str">
        <f>"2020020328"</f>
        <v>2020020328</v>
      </c>
      <c r="C3496" s="5">
        <v>66</v>
      </c>
      <c r="D3496" s="6">
        <v>72.5</v>
      </c>
      <c r="E3496" s="7">
        <f t="shared" si="54"/>
        <v>138.5</v>
      </c>
      <c r="F3496" s="8"/>
    </row>
    <row r="3497" spans="1:6" ht="18" customHeight="1">
      <c r="A3497" s="4" t="s">
        <v>120</v>
      </c>
      <c r="B3497" s="4" t="str">
        <f>"2020044111"</f>
        <v>2020044111</v>
      </c>
      <c r="C3497" s="5">
        <v>64</v>
      </c>
      <c r="D3497" s="6">
        <v>74.5</v>
      </c>
      <c r="E3497" s="7">
        <f t="shared" si="54"/>
        <v>138.5</v>
      </c>
      <c r="F3497" s="8"/>
    </row>
    <row r="3498" spans="1:6" ht="18" customHeight="1">
      <c r="A3498" s="4" t="s">
        <v>120</v>
      </c>
      <c r="B3498" s="4" t="str">
        <f>"2020024115"</f>
        <v>2020024115</v>
      </c>
      <c r="C3498" s="5">
        <v>64.900000000000006</v>
      </c>
      <c r="D3498" s="6">
        <v>73.5</v>
      </c>
      <c r="E3498" s="7">
        <f t="shared" si="54"/>
        <v>138.4</v>
      </c>
      <c r="F3498" s="8"/>
    </row>
    <row r="3499" spans="1:6" ht="18" customHeight="1">
      <c r="A3499" s="4" t="s">
        <v>120</v>
      </c>
      <c r="B3499" s="4" t="str">
        <f>"2020013804"</f>
        <v>2020013804</v>
      </c>
      <c r="C3499" s="5">
        <v>68.599999999999994</v>
      </c>
      <c r="D3499" s="6">
        <v>69.5</v>
      </c>
      <c r="E3499" s="7">
        <f t="shared" si="54"/>
        <v>138.1</v>
      </c>
      <c r="F3499" s="8"/>
    </row>
    <row r="3500" spans="1:6" ht="18" customHeight="1">
      <c r="A3500" s="4" t="s">
        <v>120</v>
      </c>
      <c r="B3500" s="4" t="str">
        <f>"2020046217"</f>
        <v>2020046217</v>
      </c>
      <c r="C3500" s="5">
        <v>71.400000000000006</v>
      </c>
      <c r="D3500" s="6">
        <v>66</v>
      </c>
      <c r="E3500" s="7">
        <f t="shared" si="54"/>
        <v>137.4</v>
      </c>
      <c r="F3500" s="8"/>
    </row>
    <row r="3501" spans="1:6" ht="18" customHeight="1">
      <c r="A3501" s="4" t="s">
        <v>120</v>
      </c>
      <c r="B3501" s="4" t="str">
        <f>"2020040520"</f>
        <v>2020040520</v>
      </c>
      <c r="C3501" s="5">
        <v>68.3</v>
      </c>
      <c r="D3501" s="6">
        <v>69</v>
      </c>
      <c r="E3501" s="7">
        <f t="shared" si="54"/>
        <v>137.30000000000001</v>
      </c>
      <c r="F3501" s="8"/>
    </row>
    <row r="3502" spans="1:6" ht="18" customHeight="1">
      <c r="A3502" s="4" t="s">
        <v>120</v>
      </c>
      <c r="B3502" s="4" t="str">
        <f>"2020043527"</f>
        <v>2020043527</v>
      </c>
      <c r="C3502" s="5">
        <v>74.3</v>
      </c>
      <c r="D3502" s="6">
        <v>60.5</v>
      </c>
      <c r="E3502" s="7">
        <f t="shared" si="54"/>
        <v>134.80000000000001</v>
      </c>
      <c r="F3502" s="8"/>
    </row>
    <row r="3503" spans="1:6" ht="18" customHeight="1">
      <c r="A3503" s="4" t="s">
        <v>120</v>
      </c>
      <c r="B3503" s="4" t="str">
        <f>"2020041315"</f>
        <v>2020041315</v>
      </c>
      <c r="C3503" s="5">
        <v>65.099999999999994</v>
      </c>
      <c r="D3503" s="6">
        <v>69</v>
      </c>
      <c r="E3503" s="7">
        <f t="shared" si="54"/>
        <v>134.1</v>
      </c>
      <c r="F3503" s="8"/>
    </row>
    <row r="3504" spans="1:6" ht="18" customHeight="1">
      <c r="A3504" s="4" t="s">
        <v>120</v>
      </c>
      <c r="B3504" s="4" t="str">
        <f>"2020031601"</f>
        <v>2020031601</v>
      </c>
      <c r="C3504" s="5">
        <v>66.8</v>
      </c>
      <c r="D3504" s="6">
        <v>67</v>
      </c>
      <c r="E3504" s="7">
        <f t="shared" si="54"/>
        <v>133.80000000000001</v>
      </c>
      <c r="F3504" s="8"/>
    </row>
    <row r="3505" spans="1:6" ht="18" customHeight="1">
      <c r="A3505" s="4" t="s">
        <v>120</v>
      </c>
      <c r="B3505" s="4" t="str">
        <f>"2020044712"</f>
        <v>2020044712</v>
      </c>
      <c r="C3505" s="5">
        <v>67.099999999999994</v>
      </c>
      <c r="D3505" s="6">
        <v>66.5</v>
      </c>
      <c r="E3505" s="7">
        <f t="shared" si="54"/>
        <v>133.6</v>
      </c>
      <c r="F3505" s="8"/>
    </row>
    <row r="3506" spans="1:6" ht="18" customHeight="1">
      <c r="A3506" s="4" t="s">
        <v>120</v>
      </c>
      <c r="B3506" s="4" t="str">
        <f>"2020043125"</f>
        <v>2020043125</v>
      </c>
      <c r="C3506" s="5">
        <v>59.8</v>
      </c>
      <c r="D3506" s="6">
        <v>73.5</v>
      </c>
      <c r="E3506" s="7">
        <f t="shared" si="54"/>
        <v>133.30000000000001</v>
      </c>
      <c r="F3506" s="8"/>
    </row>
    <row r="3507" spans="1:6" ht="18" customHeight="1">
      <c r="A3507" s="4" t="s">
        <v>120</v>
      </c>
      <c r="B3507" s="4" t="str">
        <f>"2020042505"</f>
        <v>2020042505</v>
      </c>
      <c r="C3507" s="5">
        <v>66.099999999999994</v>
      </c>
      <c r="D3507" s="6">
        <v>67</v>
      </c>
      <c r="E3507" s="7">
        <f t="shared" si="54"/>
        <v>133.1</v>
      </c>
      <c r="F3507" s="8"/>
    </row>
    <row r="3508" spans="1:6" ht="18" customHeight="1">
      <c r="A3508" s="4" t="s">
        <v>120</v>
      </c>
      <c r="B3508" s="4" t="str">
        <f>"2020022921"</f>
        <v>2020022921</v>
      </c>
      <c r="C3508" s="5">
        <v>71.400000000000006</v>
      </c>
      <c r="D3508" s="6">
        <v>61</v>
      </c>
      <c r="E3508" s="7">
        <f t="shared" si="54"/>
        <v>132.4</v>
      </c>
      <c r="F3508" s="8"/>
    </row>
    <row r="3509" spans="1:6" ht="18" customHeight="1">
      <c r="A3509" s="4" t="s">
        <v>120</v>
      </c>
      <c r="B3509" s="4" t="str">
        <f>"2020041707"</f>
        <v>2020041707</v>
      </c>
      <c r="C3509" s="5">
        <v>67.099999999999994</v>
      </c>
      <c r="D3509" s="6">
        <v>65</v>
      </c>
      <c r="E3509" s="7">
        <f t="shared" si="54"/>
        <v>132.1</v>
      </c>
      <c r="F3509" s="8"/>
    </row>
    <row r="3510" spans="1:6" ht="18" customHeight="1">
      <c r="A3510" s="4" t="s">
        <v>120</v>
      </c>
      <c r="B3510" s="4" t="str">
        <f>"2020024808"</f>
        <v>2020024808</v>
      </c>
      <c r="C3510" s="5">
        <v>65.5</v>
      </c>
      <c r="D3510" s="6">
        <v>66.5</v>
      </c>
      <c r="E3510" s="7">
        <f t="shared" si="54"/>
        <v>132</v>
      </c>
      <c r="F3510" s="8"/>
    </row>
    <row r="3511" spans="1:6" ht="18" customHeight="1">
      <c r="A3511" s="4" t="s">
        <v>120</v>
      </c>
      <c r="B3511" s="4" t="str">
        <f>"2020012519"</f>
        <v>2020012519</v>
      </c>
      <c r="C3511" s="5">
        <v>64.400000000000006</v>
      </c>
      <c r="D3511" s="6">
        <v>67.5</v>
      </c>
      <c r="E3511" s="7">
        <f t="shared" si="54"/>
        <v>131.9</v>
      </c>
      <c r="F3511" s="8"/>
    </row>
    <row r="3512" spans="1:6" ht="18" customHeight="1">
      <c r="A3512" s="4" t="s">
        <v>120</v>
      </c>
      <c r="B3512" s="4" t="str">
        <f>"2020013716"</f>
        <v>2020013716</v>
      </c>
      <c r="C3512" s="5">
        <v>62.2</v>
      </c>
      <c r="D3512" s="6">
        <v>68.5</v>
      </c>
      <c r="E3512" s="7">
        <f t="shared" si="54"/>
        <v>130.69999999999999</v>
      </c>
      <c r="F3512" s="8"/>
    </row>
    <row r="3513" spans="1:6" ht="18" customHeight="1">
      <c r="A3513" s="4" t="s">
        <v>120</v>
      </c>
      <c r="B3513" s="4" t="str">
        <f>"2020021504"</f>
        <v>2020021504</v>
      </c>
      <c r="C3513" s="5">
        <v>69.8</v>
      </c>
      <c r="D3513" s="6">
        <v>58.5</v>
      </c>
      <c r="E3513" s="7">
        <f t="shared" si="54"/>
        <v>128.30000000000001</v>
      </c>
      <c r="F3513" s="8"/>
    </row>
    <row r="3514" spans="1:6" ht="18" customHeight="1">
      <c r="A3514" s="4" t="s">
        <v>120</v>
      </c>
      <c r="B3514" s="4" t="str">
        <f>"2020041729"</f>
        <v>2020041729</v>
      </c>
      <c r="C3514" s="5">
        <v>62.6</v>
      </c>
      <c r="D3514" s="6">
        <v>64</v>
      </c>
      <c r="E3514" s="7">
        <f t="shared" si="54"/>
        <v>126.6</v>
      </c>
      <c r="F3514" s="8"/>
    </row>
    <row r="3515" spans="1:6" ht="18" customHeight="1">
      <c r="A3515" s="4" t="s">
        <v>120</v>
      </c>
      <c r="B3515" s="4" t="str">
        <f>"2020023313"</f>
        <v>2020023313</v>
      </c>
      <c r="C3515" s="5">
        <v>68.5</v>
      </c>
      <c r="D3515" s="6">
        <v>58</v>
      </c>
      <c r="E3515" s="7">
        <f t="shared" si="54"/>
        <v>126.5</v>
      </c>
      <c r="F3515" s="8"/>
    </row>
    <row r="3516" spans="1:6" ht="18" customHeight="1">
      <c r="A3516" s="4" t="s">
        <v>120</v>
      </c>
      <c r="B3516" s="4" t="str">
        <f>"2020033129"</f>
        <v>2020033129</v>
      </c>
      <c r="C3516" s="5">
        <v>68.099999999999994</v>
      </c>
      <c r="D3516" s="6">
        <v>57.5</v>
      </c>
      <c r="E3516" s="7">
        <f t="shared" si="54"/>
        <v>125.6</v>
      </c>
      <c r="F3516" s="8"/>
    </row>
    <row r="3517" spans="1:6" ht="18" customHeight="1">
      <c r="A3517" s="4" t="s">
        <v>120</v>
      </c>
      <c r="B3517" s="4" t="str">
        <f>"2020041210"</f>
        <v>2020041210</v>
      </c>
      <c r="C3517" s="5">
        <v>55.6</v>
      </c>
      <c r="D3517" s="6">
        <v>67</v>
      </c>
      <c r="E3517" s="7">
        <f t="shared" si="54"/>
        <v>122.6</v>
      </c>
      <c r="F3517" s="8"/>
    </row>
    <row r="3518" spans="1:6" ht="18" customHeight="1">
      <c r="A3518" s="4" t="s">
        <v>120</v>
      </c>
      <c r="B3518" s="4" t="str">
        <f>"2020021305"</f>
        <v>2020021305</v>
      </c>
      <c r="C3518" s="5">
        <v>56.8</v>
      </c>
      <c r="D3518" s="6">
        <v>64.5</v>
      </c>
      <c r="E3518" s="7">
        <f t="shared" si="54"/>
        <v>121.3</v>
      </c>
      <c r="F3518" s="8"/>
    </row>
    <row r="3519" spans="1:6" ht="18" customHeight="1">
      <c r="A3519" s="4" t="s">
        <v>120</v>
      </c>
      <c r="B3519" s="4" t="str">
        <f>"2020043809"</f>
        <v>2020043809</v>
      </c>
      <c r="C3519" s="5">
        <v>58.1</v>
      </c>
      <c r="D3519" s="6">
        <v>61</v>
      </c>
      <c r="E3519" s="7">
        <f t="shared" si="54"/>
        <v>119.1</v>
      </c>
      <c r="F3519" s="8"/>
    </row>
    <row r="3520" spans="1:6" ht="18" customHeight="1">
      <c r="A3520" s="4" t="s">
        <v>120</v>
      </c>
      <c r="B3520" s="4" t="str">
        <f>"2020010702"</f>
        <v>2020010702</v>
      </c>
      <c r="C3520" s="5">
        <v>57.1</v>
      </c>
      <c r="D3520" s="6">
        <v>54.5</v>
      </c>
      <c r="E3520" s="7">
        <f t="shared" si="54"/>
        <v>111.6</v>
      </c>
      <c r="F3520" s="8"/>
    </row>
    <row r="3521" spans="1:6" ht="18" customHeight="1">
      <c r="A3521" s="4" t="s">
        <v>120</v>
      </c>
      <c r="B3521" s="4" t="str">
        <f>"2020046215"</f>
        <v>2020046215</v>
      </c>
      <c r="C3521" s="5">
        <v>51</v>
      </c>
      <c r="D3521" s="6">
        <v>59</v>
      </c>
      <c r="E3521" s="7">
        <f t="shared" si="54"/>
        <v>110</v>
      </c>
      <c r="F3521" s="8"/>
    </row>
    <row r="3522" spans="1:6" ht="18" customHeight="1">
      <c r="A3522" s="4" t="s">
        <v>120</v>
      </c>
      <c r="B3522" s="4" t="str">
        <f>"2020010826"</f>
        <v>2020010826</v>
      </c>
      <c r="C3522" s="5">
        <v>0</v>
      </c>
      <c r="D3522" s="6">
        <v>0</v>
      </c>
      <c r="E3522" s="7">
        <f t="shared" si="54"/>
        <v>0</v>
      </c>
      <c r="F3522" s="9" t="s">
        <v>8</v>
      </c>
    </row>
    <row r="3523" spans="1:6" ht="18" customHeight="1">
      <c r="A3523" s="4" t="s">
        <v>120</v>
      </c>
      <c r="B3523" s="4" t="str">
        <f>"2020011922"</f>
        <v>2020011922</v>
      </c>
      <c r="C3523" s="5">
        <v>0</v>
      </c>
      <c r="D3523" s="6">
        <v>0</v>
      </c>
      <c r="E3523" s="7">
        <f t="shared" ref="E3523:E3586" si="55">SUM(C3523:D3523)</f>
        <v>0</v>
      </c>
      <c r="F3523" s="9" t="s">
        <v>8</v>
      </c>
    </row>
    <row r="3524" spans="1:6" ht="18" customHeight="1">
      <c r="A3524" s="4" t="s">
        <v>120</v>
      </c>
      <c r="B3524" s="4" t="str">
        <f>"2020012210"</f>
        <v>2020012210</v>
      </c>
      <c r="C3524" s="5">
        <v>0</v>
      </c>
      <c r="D3524" s="6">
        <v>0</v>
      </c>
      <c r="E3524" s="7">
        <f t="shared" si="55"/>
        <v>0</v>
      </c>
      <c r="F3524" s="9" t="s">
        <v>8</v>
      </c>
    </row>
    <row r="3525" spans="1:6" ht="18" customHeight="1">
      <c r="A3525" s="4" t="s">
        <v>120</v>
      </c>
      <c r="B3525" s="4" t="str">
        <f>"2020012314"</f>
        <v>2020012314</v>
      </c>
      <c r="C3525" s="5">
        <v>0</v>
      </c>
      <c r="D3525" s="6">
        <v>0</v>
      </c>
      <c r="E3525" s="7">
        <f t="shared" si="55"/>
        <v>0</v>
      </c>
      <c r="F3525" s="9" t="s">
        <v>8</v>
      </c>
    </row>
    <row r="3526" spans="1:6" ht="18" customHeight="1">
      <c r="A3526" s="4" t="s">
        <v>120</v>
      </c>
      <c r="B3526" s="4" t="str">
        <f>"2020021428"</f>
        <v>2020021428</v>
      </c>
      <c r="C3526" s="5">
        <v>0</v>
      </c>
      <c r="D3526" s="6">
        <v>0</v>
      </c>
      <c r="E3526" s="7">
        <f t="shared" si="55"/>
        <v>0</v>
      </c>
      <c r="F3526" s="8" t="s">
        <v>8</v>
      </c>
    </row>
    <row r="3527" spans="1:6" ht="18" customHeight="1">
      <c r="A3527" s="4" t="s">
        <v>120</v>
      </c>
      <c r="B3527" s="4" t="str">
        <f>"2020021913"</f>
        <v>2020021913</v>
      </c>
      <c r="C3527" s="5">
        <v>0</v>
      </c>
      <c r="D3527" s="6">
        <v>0</v>
      </c>
      <c r="E3527" s="7">
        <f t="shared" si="55"/>
        <v>0</v>
      </c>
      <c r="F3527" s="8" t="s">
        <v>8</v>
      </c>
    </row>
    <row r="3528" spans="1:6" ht="18" customHeight="1">
      <c r="A3528" s="4" t="s">
        <v>120</v>
      </c>
      <c r="B3528" s="4" t="str">
        <f>"2020022002"</f>
        <v>2020022002</v>
      </c>
      <c r="C3528" s="5">
        <v>0</v>
      </c>
      <c r="D3528" s="6">
        <v>0</v>
      </c>
      <c r="E3528" s="7">
        <f t="shared" si="55"/>
        <v>0</v>
      </c>
      <c r="F3528" s="8" t="s">
        <v>8</v>
      </c>
    </row>
    <row r="3529" spans="1:6" ht="18" customHeight="1">
      <c r="A3529" s="4" t="s">
        <v>120</v>
      </c>
      <c r="B3529" s="4" t="str">
        <f>"2020022322"</f>
        <v>2020022322</v>
      </c>
      <c r="C3529" s="5">
        <v>0</v>
      </c>
      <c r="D3529" s="6">
        <v>0</v>
      </c>
      <c r="E3529" s="7">
        <f t="shared" si="55"/>
        <v>0</v>
      </c>
      <c r="F3529" s="8" t="s">
        <v>8</v>
      </c>
    </row>
    <row r="3530" spans="1:6" ht="18" customHeight="1">
      <c r="A3530" s="4" t="s">
        <v>120</v>
      </c>
      <c r="B3530" s="4" t="str">
        <f>"2020022624"</f>
        <v>2020022624</v>
      </c>
      <c r="C3530" s="5">
        <v>0</v>
      </c>
      <c r="D3530" s="6">
        <v>0</v>
      </c>
      <c r="E3530" s="7">
        <f t="shared" si="55"/>
        <v>0</v>
      </c>
      <c r="F3530" s="8" t="s">
        <v>8</v>
      </c>
    </row>
    <row r="3531" spans="1:6" ht="18" customHeight="1">
      <c r="A3531" s="4" t="s">
        <v>120</v>
      </c>
      <c r="B3531" s="4" t="str">
        <f>"2020023326"</f>
        <v>2020023326</v>
      </c>
      <c r="C3531" s="5">
        <v>0</v>
      </c>
      <c r="D3531" s="6">
        <v>0</v>
      </c>
      <c r="E3531" s="7">
        <f t="shared" si="55"/>
        <v>0</v>
      </c>
      <c r="F3531" s="8" t="s">
        <v>8</v>
      </c>
    </row>
    <row r="3532" spans="1:6" ht="18" customHeight="1">
      <c r="A3532" s="4" t="s">
        <v>120</v>
      </c>
      <c r="B3532" s="4" t="str">
        <f>"2020023909"</f>
        <v>2020023909</v>
      </c>
      <c r="C3532" s="5">
        <v>0</v>
      </c>
      <c r="D3532" s="6">
        <v>0</v>
      </c>
      <c r="E3532" s="7">
        <f t="shared" si="55"/>
        <v>0</v>
      </c>
      <c r="F3532" s="8" t="s">
        <v>8</v>
      </c>
    </row>
    <row r="3533" spans="1:6" ht="18" customHeight="1">
      <c r="A3533" s="4" t="s">
        <v>120</v>
      </c>
      <c r="B3533" s="4" t="str">
        <f>"2020030227"</f>
        <v>2020030227</v>
      </c>
      <c r="C3533" s="5">
        <v>0</v>
      </c>
      <c r="D3533" s="6">
        <v>0</v>
      </c>
      <c r="E3533" s="7">
        <f t="shared" si="55"/>
        <v>0</v>
      </c>
      <c r="F3533" s="8" t="s">
        <v>8</v>
      </c>
    </row>
    <row r="3534" spans="1:6" ht="18" customHeight="1">
      <c r="A3534" s="4" t="s">
        <v>120</v>
      </c>
      <c r="B3534" s="4" t="str">
        <f>"2020032617"</f>
        <v>2020032617</v>
      </c>
      <c r="C3534" s="5">
        <v>0</v>
      </c>
      <c r="D3534" s="6">
        <v>0</v>
      </c>
      <c r="E3534" s="7">
        <f t="shared" si="55"/>
        <v>0</v>
      </c>
      <c r="F3534" s="8" t="s">
        <v>8</v>
      </c>
    </row>
    <row r="3535" spans="1:6" ht="18" customHeight="1">
      <c r="A3535" s="4" t="s">
        <v>120</v>
      </c>
      <c r="B3535" s="4" t="str">
        <f>"2020033825"</f>
        <v>2020033825</v>
      </c>
      <c r="C3535" s="5">
        <v>0</v>
      </c>
      <c r="D3535" s="6">
        <v>0</v>
      </c>
      <c r="E3535" s="7">
        <f t="shared" si="55"/>
        <v>0</v>
      </c>
      <c r="F3535" s="8" t="s">
        <v>8</v>
      </c>
    </row>
    <row r="3536" spans="1:6" ht="18" customHeight="1">
      <c r="A3536" s="4" t="s">
        <v>120</v>
      </c>
      <c r="B3536" s="4" t="str">
        <f>"2020041120"</f>
        <v>2020041120</v>
      </c>
      <c r="C3536" s="5">
        <v>0</v>
      </c>
      <c r="D3536" s="6">
        <v>0</v>
      </c>
      <c r="E3536" s="7">
        <f t="shared" si="55"/>
        <v>0</v>
      </c>
      <c r="F3536" s="8" t="s">
        <v>8</v>
      </c>
    </row>
    <row r="3537" spans="1:6" ht="18" customHeight="1">
      <c r="A3537" s="4" t="s">
        <v>120</v>
      </c>
      <c r="B3537" s="4" t="str">
        <f>"2020042221"</f>
        <v>2020042221</v>
      </c>
      <c r="C3537" s="5">
        <v>0</v>
      </c>
      <c r="D3537" s="6">
        <v>0</v>
      </c>
      <c r="E3537" s="7">
        <f t="shared" si="55"/>
        <v>0</v>
      </c>
      <c r="F3537" s="8" t="s">
        <v>8</v>
      </c>
    </row>
    <row r="3538" spans="1:6" ht="18" customHeight="1">
      <c r="A3538" s="4" t="s">
        <v>120</v>
      </c>
      <c r="B3538" s="4" t="str">
        <f>"2020042606"</f>
        <v>2020042606</v>
      </c>
      <c r="C3538" s="5">
        <v>0</v>
      </c>
      <c r="D3538" s="6">
        <v>0</v>
      </c>
      <c r="E3538" s="7">
        <f t="shared" si="55"/>
        <v>0</v>
      </c>
      <c r="F3538" s="8" t="s">
        <v>8</v>
      </c>
    </row>
    <row r="3539" spans="1:6" ht="18" customHeight="1">
      <c r="A3539" s="4" t="s">
        <v>120</v>
      </c>
      <c r="B3539" s="4" t="str">
        <f>"2020043016"</f>
        <v>2020043016</v>
      </c>
      <c r="C3539" s="5">
        <v>0</v>
      </c>
      <c r="D3539" s="6">
        <v>0</v>
      </c>
      <c r="E3539" s="7">
        <f t="shared" si="55"/>
        <v>0</v>
      </c>
      <c r="F3539" s="8" t="s">
        <v>8</v>
      </c>
    </row>
    <row r="3540" spans="1:6" ht="18" customHeight="1">
      <c r="A3540" s="4" t="s">
        <v>120</v>
      </c>
      <c r="B3540" s="4" t="str">
        <f>"2020044629"</f>
        <v>2020044629</v>
      </c>
      <c r="C3540" s="5">
        <v>0</v>
      </c>
      <c r="D3540" s="6">
        <v>0</v>
      </c>
      <c r="E3540" s="7">
        <f t="shared" si="55"/>
        <v>0</v>
      </c>
      <c r="F3540" s="8" t="s">
        <v>8</v>
      </c>
    </row>
    <row r="3541" spans="1:6" ht="18" customHeight="1">
      <c r="A3541" s="4" t="s">
        <v>120</v>
      </c>
      <c r="B3541" s="4" t="str">
        <f>"2020046401"</f>
        <v>2020046401</v>
      </c>
      <c r="C3541" s="5">
        <v>0</v>
      </c>
      <c r="D3541" s="6">
        <v>0</v>
      </c>
      <c r="E3541" s="7">
        <f t="shared" si="55"/>
        <v>0</v>
      </c>
      <c r="F3541" s="8" t="s">
        <v>8</v>
      </c>
    </row>
    <row r="3542" spans="1:6" ht="18" customHeight="1">
      <c r="A3542" s="4" t="s">
        <v>120</v>
      </c>
      <c r="B3542" s="4" t="str">
        <f>"2020046410"</f>
        <v>2020046410</v>
      </c>
      <c r="C3542" s="5">
        <v>0</v>
      </c>
      <c r="D3542" s="6">
        <v>0</v>
      </c>
      <c r="E3542" s="7">
        <f t="shared" si="55"/>
        <v>0</v>
      </c>
      <c r="F3542" s="8" t="s">
        <v>8</v>
      </c>
    </row>
    <row r="3543" spans="1:6" ht="18" customHeight="1">
      <c r="A3543" s="4" t="s">
        <v>120</v>
      </c>
      <c r="B3543" s="4" t="str">
        <f>"2020046727"</f>
        <v>2020046727</v>
      </c>
      <c r="C3543" s="5">
        <v>0</v>
      </c>
      <c r="D3543" s="6">
        <v>0</v>
      </c>
      <c r="E3543" s="7">
        <f t="shared" si="55"/>
        <v>0</v>
      </c>
      <c r="F3543" s="8" t="s">
        <v>8</v>
      </c>
    </row>
    <row r="3544" spans="1:6" ht="18" customHeight="1">
      <c r="A3544" s="4" t="s">
        <v>120</v>
      </c>
      <c r="B3544" s="4" t="str">
        <f>"2020047021"</f>
        <v>2020047021</v>
      </c>
      <c r="C3544" s="5">
        <v>0</v>
      </c>
      <c r="D3544" s="6">
        <v>0</v>
      </c>
      <c r="E3544" s="7">
        <f t="shared" si="55"/>
        <v>0</v>
      </c>
      <c r="F3544" s="8" t="s">
        <v>8</v>
      </c>
    </row>
    <row r="3545" spans="1:6" ht="18" customHeight="1">
      <c r="A3545" s="4" t="s">
        <v>121</v>
      </c>
      <c r="B3545" s="4" t="str">
        <f>"2020020706"</f>
        <v>2020020706</v>
      </c>
      <c r="C3545" s="5">
        <v>70.900000000000006</v>
      </c>
      <c r="D3545" s="6">
        <v>63</v>
      </c>
      <c r="E3545" s="7">
        <f t="shared" si="55"/>
        <v>133.9</v>
      </c>
      <c r="F3545" s="8"/>
    </row>
    <row r="3546" spans="1:6" ht="18" customHeight="1">
      <c r="A3546" s="4" t="s">
        <v>121</v>
      </c>
      <c r="B3546" s="4" t="str">
        <f>"2020045713"</f>
        <v>2020045713</v>
      </c>
      <c r="C3546" s="5">
        <v>61.9</v>
      </c>
      <c r="D3546" s="6">
        <v>45</v>
      </c>
      <c r="E3546" s="7">
        <f t="shared" si="55"/>
        <v>106.9</v>
      </c>
      <c r="F3546" s="8"/>
    </row>
    <row r="3547" spans="1:6" ht="18" customHeight="1">
      <c r="A3547" s="4" t="s">
        <v>121</v>
      </c>
      <c r="B3547" s="4" t="str">
        <f>"2020045005"</f>
        <v>2020045005</v>
      </c>
      <c r="C3547" s="5">
        <v>0</v>
      </c>
      <c r="D3547" s="6">
        <v>0</v>
      </c>
      <c r="E3547" s="7">
        <f t="shared" si="55"/>
        <v>0</v>
      </c>
      <c r="F3547" s="8" t="s">
        <v>8</v>
      </c>
    </row>
    <row r="3548" spans="1:6" ht="18" customHeight="1">
      <c r="A3548" s="4" t="s">
        <v>122</v>
      </c>
      <c r="B3548" s="4" t="str">
        <f>"2020040228"</f>
        <v>2020040228</v>
      </c>
      <c r="C3548" s="5">
        <v>78.099999999999994</v>
      </c>
      <c r="D3548" s="6">
        <v>71</v>
      </c>
      <c r="E3548" s="7">
        <f t="shared" si="55"/>
        <v>149.1</v>
      </c>
      <c r="F3548" s="8"/>
    </row>
    <row r="3549" spans="1:6" ht="18" customHeight="1">
      <c r="A3549" s="4" t="s">
        <v>122</v>
      </c>
      <c r="B3549" s="4" t="str">
        <f>"2020046112"</f>
        <v>2020046112</v>
      </c>
      <c r="C3549" s="5">
        <v>67.8</v>
      </c>
      <c r="D3549" s="6">
        <v>73.5</v>
      </c>
      <c r="E3549" s="7">
        <f t="shared" si="55"/>
        <v>141.30000000000001</v>
      </c>
      <c r="F3549" s="8"/>
    </row>
    <row r="3550" spans="1:6" ht="18" customHeight="1">
      <c r="A3550" s="4" t="s">
        <v>122</v>
      </c>
      <c r="B3550" s="4" t="str">
        <f>"2020022201"</f>
        <v>2020022201</v>
      </c>
      <c r="C3550" s="5">
        <v>65.099999999999994</v>
      </c>
      <c r="D3550" s="6">
        <v>70.5</v>
      </c>
      <c r="E3550" s="7">
        <f t="shared" si="55"/>
        <v>135.6</v>
      </c>
      <c r="F3550" s="8"/>
    </row>
    <row r="3551" spans="1:6" ht="18" customHeight="1">
      <c r="A3551" s="4" t="s">
        <v>122</v>
      </c>
      <c r="B3551" s="4" t="str">
        <f>"2020032124"</f>
        <v>2020032124</v>
      </c>
      <c r="C3551" s="5">
        <v>59.6</v>
      </c>
      <c r="D3551" s="6">
        <v>67.5</v>
      </c>
      <c r="E3551" s="7">
        <f t="shared" si="55"/>
        <v>127.1</v>
      </c>
      <c r="F3551" s="8"/>
    </row>
    <row r="3552" spans="1:6" ht="18" customHeight="1">
      <c r="A3552" s="4" t="s">
        <v>122</v>
      </c>
      <c r="B3552" s="4" t="str">
        <f>"2020010229"</f>
        <v>2020010229</v>
      </c>
      <c r="C3552" s="5">
        <v>0</v>
      </c>
      <c r="D3552" s="6">
        <v>0</v>
      </c>
      <c r="E3552" s="7">
        <f t="shared" si="55"/>
        <v>0</v>
      </c>
      <c r="F3552" s="9" t="s">
        <v>8</v>
      </c>
    </row>
    <row r="3553" spans="1:6" ht="18" customHeight="1">
      <c r="A3553" s="4" t="s">
        <v>122</v>
      </c>
      <c r="B3553" s="4" t="str">
        <f>"2020021606"</f>
        <v>2020021606</v>
      </c>
      <c r="C3553" s="5">
        <v>0</v>
      </c>
      <c r="D3553" s="6">
        <v>0</v>
      </c>
      <c r="E3553" s="7">
        <f t="shared" si="55"/>
        <v>0</v>
      </c>
      <c r="F3553" s="8" t="s">
        <v>8</v>
      </c>
    </row>
    <row r="3554" spans="1:6" ht="18" customHeight="1">
      <c r="A3554" s="4" t="s">
        <v>122</v>
      </c>
      <c r="B3554" s="4" t="str">
        <f>"2020032017"</f>
        <v>2020032017</v>
      </c>
      <c r="C3554" s="5">
        <v>0</v>
      </c>
      <c r="D3554" s="6">
        <v>0</v>
      </c>
      <c r="E3554" s="7">
        <f t="shared" si="55"/>
        <v>0</v>
      </c>
      <c r="F3554" s="8" t="s">
        <v>8</v>
      </c>
    </row>
    <row r="3555" spans="1:6" ht="18" customHeight="1">
      <c r="A3555" s="4" t="s">
        <v>123</v>
      </c>
      <c r="B3555" s="4" t="str">
        <f>"2020030802"</f>
        <v>2020030802</v>
      </c>
      <c r="C3555" s="5">
        <v>74.7</v>
      </c>
      <c r="D3555" s="6">
        <v>65</v>
      </c>
      <c r="E3555" s="7">
        <f t="shared" si="55"/>
        <v>139.69999999999999</v>
      </c>
      <c r="F3555" s="8"/>
    </row>
    <row r="3556" spans="1:6" ht="18" customHeight="1">
      <c r="A3556" s="4" t="s">
        <v>123</v>
      </c>
      <c r="B3556" s="4" t="str">
        <f>"2020042207"</f>
        <v>2020042207</v>
      </c>
      <c r="C3556" s="5">
        <v>63.6</v>
      </c>
      <c r="D3556" s="6">
        <v>72</v>
      </c>
      <c r="E3556" s="7">
        <f t="shared" si="55"/>
        <v>135.6</v>
      </c>
      <c r="F3556" s="8"/>
    </row>
    <row r="3557" spans="1:6" ht="18" customHeight="1">
      <c r="A3557" s="4" t="s">
        <v>123</v>
      </c>
      <c r="B3557" s="4" t="str">
        <f>"2020011202"</f>
        <v>2020011202</v>
      </c>
      <c r="C3557" s="5">
        <v>74.5</v>
      </c>
      <c r="D3557" s="6">
        <v>58</v>
      </c>
      <c r="E3557" s="7">
        <f t="shared" si="55"/>
        <v>132.5</v>
      </c>
      <c r="F3557" s="8"/>
    </row>
    <row r="3558" spans="1:6" ht="18" customHeight="1">
      <c r="A3558" s="4" t="s">
        <v>123</v>
      </c>
      <c r="B3558" s="4" t="str">
        <f>"2020046416"</f>
        <v>2020046416</v>
      </c>
      <c r="C3558" s="5">
        <v>66.599999999999994</v>
      </c>
      <c r="D3558" s="6">
        <v>57</v>
      </c>
      <c r="E3558" s="7">
        <f t="shared" si="55"/>
        <v>123.6</v>
      </c>
      <c r="F3558" s="8"/>
    </row>
    <row r="3559" spans="1:6" ht="18" customHeight="1">
      <c r="A3559" s="4" t="s">
        <v>123</v>
      </c>
      <c r="B3559" s="4" t="str">
        <f>"2020013722"</f>
        <v>2020013722</v>
      </c>
      <c r="C3559" s="5">
        <v>68</v>
      </c>
      <c r="D3559" s="6">
        <v>52.5</v>
      </c>
      <c r="E3559" s="7">
        <f t="shared" si="55"/>
        <v>120.5</v>
      </c>
      <c r="F3559" s="8"/>
    </row>
    <row r="3560" spans="1:6" ht="18" customHeight="1">
      <c r="A3560" s="4" t="s">
        <v>123</v>
      </c>
      <c r="B3560" s="4" t="str">
        <f>"2020024819"</f>
        <v>2020024819</v>
      </c>
      <c r="C3560" s="5">
        <v>0</v>
      </c>
      <c r="D3560" s="6">
        <v>0</v>
      </c>
      <c r="E3560" s="7">
        <f t="shared" si="55"/>
        <v>0</v>
      </c>
      <c r="F3560" s="8" t="s">
        <v>8</v>
      </c>
    </row>
    <row r="3561" spans="1:6" ht="18" customHeight="1">
      <c r="A3561" s="4" t="s">
        <v>123</v>
      </c>
      <c r="B3561" s="4" t="str">
        <f>"2020040620"</f>
        <v>2020040620</v>
      </c>
      <c r="C3561" s="5">
        <v>0</v>
      </c>
      <c r="D3561" s="6">
        <v>0</v>
      </c>
      <c r="E3561" s="7">
        <f t="shared" si="55"/>
        <v>0</v>
      </c>
      <c r="F3561" s="8" t="s">
        <v>8</v>
      </c>
    </row>
    <row r="3562" spans="1:6" ht="18" customHeight="1">
      <c r="A3562" s="4" t="s">
        <v>124</v>
      </c>
      <c r="B3562" s="4" t="str">
        <f>"2020030803"</f>
        <v>2020030803</v>
      </c>
      <c r="C3562" s="5">
        <v>67.2</v>
      </c>
      <c r="D3562" s="6">
        <v>63</v>
      </c>
      <c r="E3562" s="7">
        <f t="shared" si="55"/>
        <v>130.19999999999999</v>
      </c>
      <c r="F3562" s="8"/>
    </row>
    <row r="3563" spans="1:6" ht="18" customHeight="1">
      <c r="A3563" s="4" t="s">
        <v>124</v>
      </c>
      <c r="B3563" s="4" t="str">
        <f>"2020023805"</f>
        <v>2020023805</v>
      </c>
      <c r="C3563" s="5">
        <v>60.1</v>
      </c>
      <c r="D3563" s="6">
        <v>51</v>
      </c>
      <c r="E3563" s="7">
        <f t="shared" si="55"/>
        <v>111.1</v>
      </c>
      <c r="F3563" s="8"/>
    </row>
    <row r="3564" spans="1:6" ht="18" customHeight="1">
      <c r="A3564" s="4" t="s">
        <v>124</v>
      </c>
      <c r="B3564" s="4" t="str">
        <f>"2020041928"</f>
        <v>2020041928</v>
      </c>
      <c r="C3564" s="5">
        <v>0</v>
      </c>
      <c r="D3564" s="6">
        <v>0</v>
      </c>
      <c r="E3564" s="7">
        <f t="shared" si="55"/>
        <v>0</v>
      </c>
      <c r="F3564" s="8" t="s">
        <v>8</v>
      </c>
    </row>
    <row r="3565" spans="1:6" ht="18" customHeight="1">
      <c r="A3565" s="4" t="s">
        <v>125</v>
      </c>
      <c r="B3565" s="4" t="str">
        <f>"2020042216"</f>
        <v>2020042216</v>
      </c>
      <c r="C3565" s="5">
        <v>74</v>
      </c>
      <c r="D3565" s="6">
        <v>78.5</v>
      </c>
      <c r="E3565" s="7">
        <f t="shared" si="55"/>
        <v>152.5</v>
      </c>
      <c r="F3565" s="8"/>
    </row>
    <row r="3566" spans="1:6" ht="18" customHeight="1">
      <c r="A3566" s="4" t="s">
        <v>125</v>
      </c>
      <c r="B3566" s="4" t="str">
        <f>"2020012413"</f>
        <v>2020012413</v>
      </c>
      <c r="C3566" s="5">
        <v>69.7</v>
      </c>
      <c r="D3566" s="6">
        <v>77.5</v>
      </c>
      <c r="E3566" s="7">
        <f t="shared" si="55"/>
        <v>147.19999999999999</v>
      </c>
      <c r="F3566" s="8"/>
    </row>
    <row r="3567" spans="1:6" ht="18" customHeight="1">
      <c r="A3567" s="4" t="s">
        <v>125</v>
      </c>
      <c r="B3567" s="4" t="str">
        <f>"2020041517"</f>
        <v>2020041517</v>
      </c>
      <c r="C3567" s="5">
        <v>75.599999999999994</v>
      </c>
      <c r="D3567" s="6">
        <v>71.5</v>
      </c>
      <c r="E3567" s="7">
        <f t="shared" si="55"/>
        <v>147.1</v>
      </c>
      <c r="F3567" s="8"/>
    </row>
    <row r="3568" spans="1:6" ht="18" customHeight="1">
      <c r="A3568" s="4" t="s">
        <v>125</v>
      </c>
      <c r="B3568" s="4" t="str">
        <f>"2020010502"</f>
        <v>2020010502</v>
      </c>
      <c r="C3568" s="5">
        <v>65.3</v>
      </c>
      <c r="D3568" s="6">
        <v>80.5</v>
      </c>
      <c r="E3568" s="7">
        <f t="shared" si="55"/>
        <v>145.80000000000001</v>
      </c>
      <c r="F3568" s="8"/>
    </row>
    <row r="3569" spans="1:6" ht="18" customHeight="1">
      <c r="A3569" s="4" t="s">
        <v>125</v>
      </c>
      <c r="B3569" s="4" t="str">
        <f>"2020033303"</f>
        <v>2020033303</v>
      </c>
      <c r="C3569" s="5">
        <v>71.599999999999994</v>
      </c>
      <c r="D3569" s="6">
        <v>72.5</v>
      </c>
      <c r="E3569" s="7">
        <f t="shared" si="55"/>
        <v>144.1</v>
      </c>
      <c r="F3569" s="8"/>
    </row>
    <row r="3570" spans="1:6" ht="18" customHeight="1">
      <c r="A3570" s="4" t="s">
        <v>125</v>
      </c>
      <c r="B3570" s="4" t="str">
        <f>"2020032727"</f>
        <v>2020032727</v>
      </c>
      <c r="C3570" s="5">
        <v>70.099999999999994</v>
      </c>
      <c r="D3570" s="6">
        <v>71</v>
      </c>
      <c r="E3570" s="7">
        <f t="shared" si="55"/>
        <v>141.1</v>
      </c>
      <c r="F3570" s="8"/>
    </row>
    <row r="3571" spans="1:6" ht="18" customHeight="1">
      <c r="A3571" s="4" t="s">
        <v>125</v>
      </c>
      <c r="B3571" s="4" t="str">
        <f>"2020012516"</f>
        <v>2020012516</v>
      </c>
      <c r="C3571" s="5">
        <v>64.5</v>
      </c>
      <c r="D3571" s="6">
        <v>70.5</v>
      </c>
      <c r="E3571" s="7">
        <f t="shared" si="55"/>
        <v>135</v>
      </c>
      <c r="F3571" s="8"/>
    </row>
    <row r="3572" spans="1:6" ht="18" customHeight="1">
      <c r="A3572" s="4" t="s">
        <v>125</v>
      </c>
      <c r="B3572" s="4" t="str">
        <f>"2020033405"</f>
        <v>2020033405</v>
      </c>
      <c r="C3572" s="5">
        <v>56.9</v>
      </c>
      <c r="D3572" s="6">
        <v>74</v>
      </c>
      <c r="E3572" s="7">
        <f t="shared" si="55"/>
        <v>130.9</v>
      </c>
      <c r="F3572" s="8"/>
    </row>
    <row r="3573" spans="1:6" ht="18" customHeight="1">
      <c r="A3573" s="4" t="s">
        <v>125</v>
      </c>
      <c r="B3573" s="4" t="str">
        <f>"2020013129"</f>
        <v>2020013129</v>
      </c>
      <c r="C3573" s="5">
        <v>56.1</v>
      </c>
      <c r="D3573" s="6">
        <v>74.5</v>
      </c>
      <c r="E3573" s="7">
        <f t="shared" si="55"/>
        <v>130.6</v>
      </c>
      <c r="F3573" s="8"/>
    </row>
    <row r="3574" spans="1:6" ht="18" customHeight="1">
      <c r="A3574" s="4" t="s">
        <v>125</v>
      </c>
      <c r="B3574" s="4" t="str">
        <f>"2020044121"</f>
        <v>2020044121</v>
      </c>
      <c r="C3574" s="5">
        <v>61.9</v>
      </c>
      <c r="D3574" s="6">
        <v>67</v>
      </c>
      <c r="E3574" s="7">
        <f t="shared" si="55"/>
        <v>128.9</v>
      </c>
      <c r="F3574" s="8"/>
    </row>
    <row r="3575" spans="1:6" ht="18" customHeight="1">
      <c r="A3575" s="4" t="s">
        <v>125</v>
      </c>
      <c r="B3575" s="4" t="str">
        <f>"2020041516"</f>
        <v>2020041516</v>
      </c>
      <c r="C3575" s="5">
        <v>68.599999999999994</v>
      </c>
      <c r="D3575" s="6">
        <v>59.5</v>
      </c>
      <c r="E3575" s="7">
        <f t="shared" si="55"/>
        <v>128.1</v>
      </c>
      <c r="F3575" s="8"/>
    </row>
    <row r="3576" spans="1:6" ht="18" customHeight="1">
      <c r="A3576" s="4" t="s">
        <v>125</v>
      </c>
      <c r="B3576" s="4" t="str">
        <f>"2020020901"</f>
        <v>2020020901</v>
      </c>
      <c r="C3576" s="5">
        <v>65.599999999999994</v>
      </c>
      <c r="D3576" s="6">
        <v>62.5</v>
      </c>
      <c r="E3576" s="7">
        <f t="shared" si="55"/>
        <v>128.1</v>
      </c>
      <c r="F3576" s="8"/>
    </row>
    <row r="3577" spans="1:6" ht="18" customHeight="1">
      <c r="A3577" s="4" t="s">
        <v>125</v>
      </c>
      <c r="B3577" s="4" t="str">
        <f>"2020021701"</f>
        <v>2020021701</v>
      </c>
      <c r="C3577" s="5">
        <v>60.8</v>
      </c>
      <c r="D3577" s="6">
        <v>67</v>
      </c>
      <c r="E3577" s="7">
        <f t="shared" si="55"/>
        <v>127.8</v>
      </c>
      <c r="F3577" s="8"/>
    </row>
    <row r="3578" spans="1:6" ht="18" customHeight="1">
      <c r="A3578" s="4" t="s">
        <v>125</v>
      </c>
      <c r="B3578" s="4" t="str">
        <f>"2020043322"</f>
        <v>2020043322</v>
      </c>
      <c r="C3578" s="5">
        <v>62.3</v>
      </c>
      <c r="D3578" s="6">
        <v>63.5</v>
      </c>
      <c r="E3578" s="7">
        <f t="shared" si="55"/>
        <v>125.8</v>
      </c>
      <c r="F3578" s="8"/>
    </row>
    <row r="3579" spans="1:6" ht="18" customHeight="1">
      <c r="A3579" s="4" t="s">
        <v>125</v>
      </c>
      <c r="B3579" s="4" t="str">
        <f>"2020043515"</f>
        <v>2020043515</v>
      </c>
      <c r="C3579" s="5">
        <v>65.7</v>
      </c>
      <c r="D3579" s="6">
        <v>60</v>
      </c>
      <c r="E3579" s="7">
        <f t="shared" si="55"/>
        <v>125.7</v>
      </c>
      <c r="F3579" s="8"/>
    </row>
    <row r="3580" spans="1:6" ht="18" customHeight="1">
      <c r="A3580" s="4" t="s">
        <v>125</v>
      </c>
      <c r="B3580" s="4" t="str">
        <f>"2020012316"</f>
        <v>2020012316</v>
      </c>
      <c r="C3580" s="5">
        <v>59.8</v>
      </c>
      <c r="D3580" s="6">
        <v>65</v>
      </c>
      <c r="E3580" s="7">
        <f t="shared" si="55"/>
        <v>124.8</v>
      </c>
      <c r="F3580" s="8"/>
    </row>
    <row r="3581" spans="1:6" ht="18" customHeight="1">
      <c r="A3581" s="4" t="s">
        <v>125</v>
      </c>
      <c r="B3581" s="4" t="str">
        <f>"2020024314"</f>
        <v>2020024314</v>
      </c>
      <c r="C3581" s="5">
        <v>64.599999999999994</v>
      </c>
      <c r="D3581" s="6">
        <v>57.5</v>
      </c>
      <c r="E3581" s="7">
        <f t="shared" si="55"/>
        <v>122.1</v>
      </c>
      <c r="F3581" s="8"/>
    </row>
    <row r="3582" spans="1:6" ht="18" customHeight="1">
      <c r="A3582" s="4" t="s">
        <v>125</v>
      </c>
      <c r="B3582" s="4" t="str">
        <f>"2020042229"</f>
        <v>2020042229</v>
      </c>
      <c r="C3582" s="5">
        <v>68</v>
      </c>
      <c r="D3582" s="6">
        <v>53</v>
      </c>
      <c r="E3582" s="7">
        <f t="shared" si="55"/>
        <v>121</v>
      </c>
      <c r="F3582" s="8"/>
    </row>
    <row r="3583" spans="1:6" ht="18" customHeight="1">
      <c r="A3583" s="4" t="s">
        <v>125</v>
      </c>
      <c r="B3583" s="4" t="str">
        <f>"2020040810"</f>
        <v>2020040810</v>
      </c>
      <c r="C3583" s="5">
        <v>61.2</v>
      </c>
      <c r="D3583" s="6">
        <v>55.5</v>
      </c>
      <c r="E3583" s="7">
        <f t="shared" si="55"/>
        <v>116.7</v>
      </c>
      <c r="F3583" s="8"/>
    </row>
    <row r="3584" spans="1:6" ht="18" customHeight="1">
      <c r="A3584" s="4" t="s">
        <v>125</v>
      </c>
      <c r="B3584" s="4" t="str">
        <f>"2020043720"</f>
        <v>2020043720</v>
      </c>
      <c r="C3584" s="5">
        <v>59.7</v>
      </c>
      <c r="D3584" s="6">
        <v>56</v>
      </c>
      <c r="E3584" s="7">
        <f t="shared" si="55"/>
        <v>115.7</v>
      </c>
      <c r="F3584" s="8"/>
    </row>
    <row r="3585" spans="1:6" ht="18" customHeight="1">
      <c r="A3585" s="4" t="s">
        <v>125</v>
      </c>
      <c r="B3585" s="4" t="str">
        <f>"2020032305"</f>
        <v>2020032305</v>
      </c>
      <c r="C3585" s="5">
        <v>63.2</v>
      </c>
      <c r="D3585" s="6">
        <v>45</v>
      </c>
      <c r="E3585" s="7">
        <f t="shared" si="55"/>
        <v>108.2</v>
      </c>
      <c r="F3585" s="8"/>
    </row>
    <row r="3586" spans="1:6" ht="18" customHeight="1">
      <c r="A3586" s="4" t="s">
        <v>125</v>
      </c>
      <c r="B3586" s="4" t="str">
        <f>"2020012601"</f>
        <v>2020012601</v>
      </c>
      <c r="C3586" s="5">
        <v>0</v>
      </c>
      <c r="D3586" s="6">
        <v>0</v>
      </c>
      <c r="E3586" s="7">
        <f t="shared" si="55"/>
        <v>0</v>
      </c>
      <c r="F3586" s="9" t="s">
        <v>8</v>
      </c>
    </row>
    <row r="3587" spans="1:6" ht="18" customHeight="1">
      <c r="A3587" s="4" t="s">
        <v>125</v>
      </c>
      <c r="B3587" s="4" t="str">
        <f>"2020040612"</f>
        <v>2020040612</v>
      </c>
      <c r="C3587" s="5">
        <v>0</v>
      </c>
      <c r="D3587" s="6">
        <v>0</v>
      </c>
      <c r="E3587" s="7">
        <f t="shared" ref="E3587:E3650" si="56">SUM(C3587:D3587)</f>
        <v>0</v>
      </c>
      <c r="F3587" s="8" t="s">
        <v>8</v>
      </c>
    </row>
    <row r="3588" spans="1:6" ht="18" customHeight="1">
      <c r="A3588" s="4" t="s">
        <v>125</v>
      </c>
      <c r="B3588" s="4" t="str">
        <f>"2020040819"</f>
        <v>2020040819</v>
      </c>
      <c r="C3588" s="5">
        <v>0</v>
      </c>
      <c r="D3588" s="6">
        <v>0</v>
      </c>
      <c r="E3588" s="7">
        <f t="shared" si="56"/>
        <v>0</v>
      </c>
      <c r="F3588" s="8" t="s">
        <v>8</v>
      </c>
    </row>
    <row r="3589" spans="1:6" ht="18" customHeight="1">
      <c r="A3589" s="4" t="s">
        <v>125</v>
      </c>
      <c r="B3589" s="4" t="str">
        <f>"2020041202"</f>
        <v>2020041202</v>
      </c>
      <c r="C3589" s="5">
        <v>0</v>
      </c>
      <c r="D3589" s="6">
        <v>0</v>
      </c>
      <c r="E3589" s="7">
        <f t="shared" si="56"/>
        <v>0</v>
      </c>
      <c r="F3589" s="8" t="s">
        <v>8</v>
      </c>
    </row>
    <row r="3590" spans="1:6" ht="18" customHeight="1">
      <c r="A3590" s="4" t="s">
        <v>125</v>
      </c>
      <c r="B3590" s="4" t="str">
        <f>"2020044526"</f>
        <v>2020044526</v>
      </c>
      <c r="C3590" s="5">
        <v>0</v>
      </c>
      <c r="D3590" s="6">
        <v>0</v>
      </c>
      <c r="E3590" s="7">
        <f t="shared" si="56"/>
        <v>0</v>
      </c>
      <c r="F3590" s="8" t="s">
        <v>8</v>
      </c>
    </row>
    <row r="3591" spans="1:6" ht="18" customHeight="1">
      <c r="A3591" s="4" t="s">
        <v>126</v>
      </c>
      <c r="B3591" s="4" t="str">
        <f>"2020044214"</f>
        <v>2020044214</v>
      </c>
      <c r="C3591" s="5">
        <v>79.099999999999994</v>
      </c>
      <c r="D3591" s="6">
        <v>83.5</v>
      </c>
      <c r="E3591" s="7">
        <f t="shared" si="56"/>
        <v>162.6</v>
      </c>
      <c r="F3591" s="8"/>
    </row>
    <row r="3592" spans="1:6" ht="18" customHeight="1">
      <c r="A3592" s="4" t="s">
        <v>126</v>
      </c>
      <c r="B3592" s="4" t="str">
        <f>"2020024418"</f>
        <v>2020024418</v>
      </c>
      <c r="C3592" s="5">
        <v>79.3</v>
      </c>
      <c r="D3592" s="6">
        <v>73</v>
      </c>
      <c r="E3592" s="7">
        <f t="shared" si="56"/>
        <v>152.30000000000001</v>
      </c>
      <c r="F3592" s="8"/>
    </row>
    <row r="3593" spans="1:6" ht="18" customHeight="1">
      <c r="A3593" s="4" t="s">
        <v>126</v>
      </c>
      <c r="B3593" s="4" t="str">
        <f>"2020013818"</f>
        <v>2020013818</v>
      </c>
      <c r="C3593" s="5">
        <v>68</v>
      </c>
      <c r="D3593" s="6">
        <v>81</v>
      </c>
      <c r="E3593" s="7">
        <f t="shared" si="56"/>
        <v>149</v>
      </c>
      <c r="F3593" s="8"/>
    </row>
    <row r="3594" spans="1:6" ht="18" customHeight="1">
      <c r="A3594" s="4" t="s">
        <v>126</v>
      </c>
      <c r="B3594" s="4" t="str">
        <f>"2020023717"</f>
        <v>2020023717</v>
      </c>
      <c r="C3594" s="5">
        <v>64.7</v>
      </c>
      <c r="D3594" s="6">
        <v>81</v>
      </c>
      <c r="E3594" s="7">
        <f t="shared" si="56"/>
        <v>145.69999999999999</v>
      </c>
      <c r="F3594" s="8"/>
    </row>
    <row r="3595" spans="1:6" ht="18" customHeight="1">
      <c r="A3595" s="4" t="s">
        <v>126</v>
      </c>
      <c r="B3595" s="4" t="str">
        <f>"2020042106"</f>
        <v>2020042106</v>
      </c>
      <c r="C3595" s="5">
        <v>72.7</v>
      </c>
      <c r="D3595" s="6">
        <v>72.5</v>
      </c>
      <c r="E3595" s="7">
        <f t="shared" si="56"/>
        <v>145.19999999999999</v>
      </c>
      <c r="F3595" s="8"/>
    </row>
    <row r="3596" spans="1:6" ht="18" customHeight="1">
      <c r="A3596" s="4" t="s">
        <v>126</v>
      </c>
      <c r="B3596" s="4" t="str">
        <f>"2020030629"</f>
        <v>2020030629</v>
      </c>
      <c r="C3596" s="5">
        <v>69.900000000000006</v>
      </c>
      <c r="D3596" s="6">
        <v>74.5</v>
      </c>
      <c r="E3596" s="7">
        <f t="shared" si="56"/>
        <v>144.4</v>
      </c>
      <c r="F3596" s="8"/>
    </row>
    <row r="3597" spans="1:6" ht="18" customHeight="1">
      <c r="A3597" s="4" t="s">
        <v>126</v>
      </c>
      <c r="B3597" s="4" t="str">
        <f>"2020013711"</f>
        <v>2020013711</v>
      </c>
      <c r="C3597" s="5">
        <v>65</v>
      </c>
      <c r="D3597" s="6">
        <v>79</v>
      </c>
      <c r="E3597" s="7">
        <f t="shared" si="56"/>
        <v>144</v>
      </c>
      <c r="F3597" s="8"/>
    </row>
    <row r="3598" spans="1:6" ht="18" customHeight="1">
      <c r="A3598" s="4" t="s">
        <v>126</v>
      </c>
      <c r="B3598" s="4" t="str">
        <f>"2020045606"</f>
        <v>2020045606</v>
      </c>
      <c r="C3598" s="5">
        <v>71.3</v>
      </c>
      <c r="D3598" s="6">
        <v>71</v>
      </c>
      <c r="E3598" s="7">
        <f t="shared" si="56"/>
        <v>142.30000000000001</v>
      </c>
      <c r="F3598" s="8"/>
    </row>
    <row r="3599" spans="1:6" ht="18" customHeight="1">
      <c r="A3599" s="4" t="s">
        <v>126</v>
      </c>
      <c r="B3599" s="4" t="str">
        <f>"2020045230"</f>
        <v>2020045230</v>
      </c>
      <c r="C3599" s="5">
        <v>64.8</v>
      </c>
      <c r="D3599" s="6">
        <v>77.5</v>
      </c>
      <c r="E3599" s="7">
        <f t="shared" si="56"/>
        <v>142.30000000000001</v>
      </c>
      <c r="F3599" s="8"/>
    </row>
    <row r="3600" spans="1:6" ht="18" customHeight="1">
      <c r="A3600" s="4" t="s">
        <v>126</v>
      </c>
      <c r="B3600" s="4" t="str">
        <f>"2020024024"</f>
        <v>2020024024</v>
      </c>
      <c r="C3600" s="5">
        <v>72.099999999999994</v>
      </c>
      <c r="D3600" s="6">
        <v>69.5</v>
      </c>
      <c r="E3600" s="7">
        <f t="shared" si="56"/>
        <v>141.6</v>
      </c>
      <c r="F3600" s="8"/>
    </row>
    <row r="3601" spans="1:6" ht="18" customHeight="1">
      <c r="A3601" s="4" t="s">
        <v>126</v>
      </c>
      <c r="B3601" s="4" t="str">
        <f>"2020031910"</f>
        <v>2020031910</v>
      </c>
      <c r="C3601" s="5">
        <v>65</v>
      </c>
      <c r="D3601" s="6">
        <v>76.5</v>
      </c>
      <c r="E3601" s="7">
        <f t="shared" si="56"/>
        <v>141.5</v>
      </c>
      <c r="F3601" s="8"/>
    </row>
    <row r="3602" spans="1:6" ht="18" customHeight="1">
      <c r="A3602" s="4" t="s">
        <v>126</v>
      </c>
      <c r="B3602" s="4" t="str">
        <f>"2020044929"</f>
        <v>2020044929</v>
      </c>
      <c r="C3602" s="5">
        <v>69.3</v>
      </c>
      <c r="D3602" s="6">
        <v>71</v>
      </c>
      <c r="E3602" s="7">
        <f t="shared" si="56"/>
        <v>140.30000000000001</v>
      </c>
      <c r="F3602" s="8"/>
    </row>
    <row r="3603" spans="1:6" ht="18" customHeight="1">
      <c r="A3603" s="4" t="s">
        <v>126</v>
      </c>
      <c r="B3603" s="4" t="str">
        <f>"2020044320"</f>
        <v>2020044320</v>
      </c>
      <c r="C3603" s="5">
        <v>63.3</v>
      </c>
      <c r="D3603" s="6">
        <v>77</v>
      </c>
      <c r="E3603" s="7">
        <f t="shared" si="56"/>
        <v>140.30000000000001</v>
      </c>
      <c r="F3603" s="8"/>
    </row>
    <row r="3604" spans="1:6" ht="18" customHeight="1">
      <c r="A3604" s="4" t="s">
        <v>126</v>
      </c>
      <c r="B3604" s="4" t="str">
        <f>"2020020206"</f>
        <v>2020020206</v>
      </c>
      <c r="C3604" s="5">
        <v>71.099999999999994</v>
      </c>
      <c r="D3604" s="6">
        <v>69</v>
      </c>
      <c r="E3604" s="7">
        <f t="shared" si="56"/>
        <v>140.1</v>
      </c>
      <c r="F3604" s="8"/>
    </row>
    <row r="3605" spans="1:6" ht="18" customHeight="1">
      <c r="A3605" s="4" t="s">
        <v>126</v>
      </c>
      <c r="B3605" s="4" t="str">
        <f>"2020041413"</f>
        <v>2020041413</v>
      </c>
      <c r="C3605" s="5">
        <v>67.7</v>
      </c>
      <c r="D3605" s="6">
        <v>71.5</v>
      </c>
      <c r="E3605" s="7">
        <f t="shared" si="56"/>
        <v>139.19999999999999</v>
      </c>
      <c r="F3605" s="8"/>
    </row>
    <row r="3606" spans="1:6" ht="18" customHeight="1">
      <c r="A3606" s="4" t="s">
        <v>126</v>
      </c>
      <c r="B3606" s="4" t="str">
        <f>"2020022930"</f>
        <v>2020022930</v>
      </c>
      <c r="C3606" s="5">
        <v>69.2</v>
      </c>
      <c r="D3606" s="6">
        <v>69</v>
      </c>
      <c r="E3606" s="7">
        <f t="shared" si="56"/>
        <v>138.19999999999999</v>
      </c>
      <c r="F3606" s="8"/>
    </row>
    <row r="3607" spans="1:6" ht="18" customHeight="1">
      <c r="A3607" s="4" t="s">
        <v>126</v>
      </c>
      <c r="B3607" s="4" t="str">
        <f>"2020032326"</f>
        <v>2020032326</v>
      </c>
      <c r="C3607" s="5">
        <v>71.400000000000006</v>
      </c>
      <c r="D3607" s="6">
        <v>66.5</v>
      </c>
      <c r="E3607" s="7">
        <f t="shared" si="56"/>
        <v>137.9</v>
      </c>
      <c r="F3607" s="8"/>
    </row>
    <row r="3608" spans="1:6" ht="18" customHeight="1">
      <c r="A3608" s="4" t="s">
        <v>126</v>
      </c>
      <c r="B3608" s="4" t="str">
        <f>"2020045016"</f>
        <v>2020045016</v>
      </c>
      <c r="C3608" s="5">
        <v>67.3</v>
      </c>
      <c r="D3608" s="6">
        <v>70</v>
      </c>
      <c r="E3608" s="7">
        <f t="shared" si="56"/>
        <v>137.30000000000001</v>
      </c>
      <c r="F3608" s="8"/>
    </row>
    <row r="3609" spans="1:6" ht="18" customHeight="1">
      <c r="A3609" s="4" t="s">
        <v>126</v>
      </c>
      <c r="B3609" s="4" t="str">
        <f>"2020020528"</f>
        <v>2020020528</v>
      </c>
      <c r="C3609" s="5">
        <v>69.599999999999994</v>
      </c>
      <c r="D3609" s="6">
        <v>66.5</v>
      </c>
      <c r="E3609" s="7">
        <f t="shared" si="56"/>
        <v>136.1</v>
      </c>
      <c r="F3609" s="8"/>
    </row>
    <row r="3610" spans="1:6" ht="18" customHeight="1">
      <c r="A3610" s="4" t="s">
        <v>126</v>
      </c>
      <c r="B3610" s="4" t="str">
        <f>"2020042707"</f>
        <v>2020042707</v>
      </c>
      <c r="C3610" s="5">
        <v>69.7</v>
      </c>
      <c r="D3610" s="6">
        <v>64.5</v>
      </c>
      <c r="E3610" s="7">
        <f t="shared" si="56"/>
        <v>134.19999999999999</v>
      </c>
      <c r="F3610" s="8"/>
    </row>
    <row r="3611" spans="1:6" ht="18" customHeight="1">
      <c r="A3611" s="4" t="s">
        <v>126</v>
      </c>
      <c r="B3611" s="4" t="str">
        <f>"2020042422"</f>
        <v>2020042422</v>
      </c>
      <c r="C3611" s="5">
        <v>67.3</v>
      </c>
      <c r="D3611" s="6">
        <v>65.5</v>
      </c>
      <c r="E3611" s="7">
        <f t="shared" si="56"/>
        <v>132.80000000000001</v>
      </c>
      <c r="F3611" s="8"/>
    </row>
    <row r="3612" spans="1:6" ht="18" customHeight="1">
      <c r="A3612" s="4" t="s">
        <v>126</v>
      </c>
      <c r="B3612" s="4" t="str">
        <f>"2020031118"</f>
        <v>2020031118</v>
      </c>
      <c r="C3612" s="5">
        <v>64.2</v>
      </c>
      <c r="D3612" s="6">
        <v>68.5</v>
      </c>
      <c r="E3612" s="7">
        <f t="shared" si="56"/>
        <v>132.69999999999999</v>
      </c>
      <c r="F3612" s="8"/>
    </row>
    <row r="3613" spans="1:6" ht="18" customHeight="1">
      <c r="A3613" s="4" t="s">
        <v>126</v>
      </c>
      <c r="B3613" s="4" t="str">
        <f>"2020044503"</f>
        <v>2020044503</v>
      </c>
      <c r="C3613" s="5">
        <v>68.599999999999994</v>
      </c>
      <c r="D3613" s="6">
        <v>64</v>
      </c>
      <c r="E3613" s="7">
        <f t="shared" si="56"/>
        <v>132.6</v>
      </c>
      <c r="F3613" s="8"/>
    </row>
    <row r="3614" spans="1:6" ht="18" customHeight="1">
      <c r="A3614" s="4" t="s">
        <v>126</v>
      </c>
      <c r="B3614" s="4" t="str">
        <f>"2020033407"</f>
        <v>2020033407</v>
      </c>
      <c r="C3614" s="5">
        <v>66</v>
      </c>
      <c r="D3614" s="6">
        <v>64.5</v>
      </c>
      <c r="E3614" s="7">
        <f t="shared" si="56"/>
        <v>130.5</v>
      </c>
      <c r="F3614" s="8"/>
    </row>
    <row r="3615" spans="1:6" ht="18" customHeight="1">
      <c r="A3615" s="4" t="s">
        <v>126</v>
      </c>
      <c r="B3615" s="4" t="str">
        <f>"2020042026"</f>
        <v>2020042026</v>
      </c>
      <c r="C3615" s="5">
        <v>58.9</v>
      </c>
      <c r="D3615" s="6">
        <v>68.5</v>
      </c>
      <c r="E3615" s="7">
        <f t="shared" si="56"/>
        <v>127.4</v>
      </c>
      <c r="F3615" s="8"/>
    </row>
    <row r="3616" spans="1:6" ht="18" customHeight="1">
      <c r="A3616" s="4" t="s">
        <v>126</v>
      </c>
      <c r="B3616" s="4" t="str">
        <f>"2020022804"</f>
        <v>2020022804</v>
      </c>
      <c r="C3616" s="5">
        <v>66.400000000000006</v>
      </c>
      <c r="D3616" s="6">
        <v>59</v>
      </c>
      <c r="E3616" s="7">
        <f t="shared" si="56"/>
        <v>125.4</v>
      </c>
      <c r="F3616" s="8"/>
    </row>
    <row r="3617" spans="1:6" ht="18" customHeight="1">
      <c r="A3617" s="4" t="s">
        <v>126</v>
      </c>
      <c r="B3617" s="4" t="str">
        <f>"2020024830"</f>
        <v>2020024830</v>
      </c>
      <c r="C3617" s="5">
        <v>69.7</v>
      </c>
      <c r="D3617" s="6">
        <v>55</v>
      </c>
      <c r="E3617" s="7">
        <f t="shared" si="56"/>
        <v>124.7</v>
      </c>
      <c r="F3617" s="8"/>
    </row>
    <row r="3618" spans="1:6" ht="18" customHeight="1">
      <c r="A3618" s="4" t="s">
        <v>126</v>
      </c>
      <c r="B3618" s="4" t="str">
        <f>"2020046214"</f>
        <v>2020046214</v>
      </c>
      <c r="C3618" s="5">
        <v>64</v>
      </c>
      <c r="D3618" s="6">
        <v>60.5</v>
      </c>
      <c r="E3618" s="7">
        <f t="shared" si="56"/>
        <v>124.5</v>
      </c>
      <c r="F3618" s="8"/>
    </row>
    <row r="3619" spans="1:6" ht="18" customHeight="1">
      <c r="A3619" s="4" t="s">
        <v>126</v>
      </c>
      <c r="B3619" s="4" t="str">
        <f>"2020045201"</f>
        <v>2020045201</v>
      </c>
      <c r="C3619" s="5">
        <v>61.9</v>
      </c>
      <c r="D3619" s="6">
        <v>61</v>
      </c>
      <c r="E3619" s="7">
        <f t="shared" si="56"/>
        <v>122.9</v>
      </c>
      <c r="F3619" s="8"/>
    </row>
    <row r="3620" spans="1:6" ht="18" customHeight="1">
      <c r="A3620" s="4" t="s">
        <v>126</v>
      </c>
      <c r="B3620" s="4" t="str">
        <f>"2020031921"</f>
        <v>2020031921</v>
      </c>
      <c r="C3620" s="5">
        <v>64.5</v>
      </c>
      <c r="D3620" s="6">
        <v>56.5</v>
      </c>
      <c r="E3620" s="7">
        <f t="shared" si="56"/>
        <v>121</v>
      </c>
      <c r="F3620" s="8"/>
    </row>
    <row r="3621" spans="1:6" ht="18" customHeight="1">
      <c r="A3621" s="4" t="s">
        <v>126</v>
      </c>
      <c r="B3621" s="4" t="str">
        <f>"2020013714"</f>
        <v>2020013714</v>
      </c>
      <c r="C3621" s="5">
        <v>60.1</v>
      </c>
      <c r="D3621" s="6">
        <v>59</v>
      </c>
      <c r="E3621" s="7">
        <f t="shared" si="56"/>
        <v>119.1</v>
      </c>
      <c r="F3621" s="8"/>
    </row>
    <row r="3622" spans="1:6" ht="18" customHeight="1">
      <c r="A3622" s="4" t="s">
        <v>126</v>
      </c>
      <c r="B3622" s="4" t="str">
        <f>"2020010821"</f>
        <v>2020010821</v>
      </c>
      <c r="C3622" s="5">
        <v>63.2</v>
      </c>
      <c r="D3622" s="6">
        <v>54</v>
      </c>
      <c r="E3622" s="7">
        <f t="shared" si="56"/>
        <v>117.2</v>
      </c>
      <c r="F3622" s="8"/>
    </row>
    <row r="3623" spans="1:6" ht="18" customHeight="1">
      <c r="A3623" s="4" t="s">
        <v>126</v>
      </c>
      <c r="B3623" s="4" t="str">
        <f>"2020013902"</f>
        <v>2020013902</v>
      </c>
      <c r="C3623" s="5">
        <v>59.1</v>
      </c>
      <c r="D3623" s="6">
        <v>58</v>
      </c>
      <c r="E3623" s="7">
        <f t="shared" si="56"/>
        <v>117.1</v>
      </c>
      <c r="F3623" s="8"/>
    </row>
    <row r="3624" spans="1:6" ht="18" customHeight="1">
      <c r="A3624" s="4" t="s">
        <v>126</v>
      </c>
      <c r="B3624" s="4" t="str">
        <f>"2020044326"</f>
        <v>2020044326</v>
      </c>
      <c r="C3624" s="5">
        <v>57.1</v>
      </c>
      <c r="D3624" s="6">
        <v>58</v>
      </c>
      <c r="E3624" s="7">
        <f t="shared" si="56"/>
        <v>115.1</v>
      </c>
      <c r="F3624" s="8"/>
    </row>
    <row r="3625" spans="1:6" ht="18" customHeight="1">
      <c r="A3625" s="4" t="s">
        <v>126</v>
      </c>
      <c r="B3625" s="4" t="str">
        <f>"2020030105"</f>
        <v>2020030105</v>
      </c>
      <c r="C3625" s="5">
        <v>64.599999999999994</v>
      </c>
      <c r="D3625" s="6">
        <v>49.5</v>
      </c>
      <c r="E3625" s="7">
        <f t="shared" si="56"/>
        <v>114.1</v>
      </c>
      <c r="F3625" s="8"/>
    </row>
    <row r="3626" spans="1:6" ht="18" customHeight="1">
      <c r="A3626" s="4" t="s">
        <v>126</v>
      </c>
      <c r="B3626" s="4" t="str">
        <f>"2020012801"</f>
        <v>2020012801</v>
      </c>
      <c r="C3626" s="5">
        <v>60.1</v>
      </c>
      <c r="D3626" s="6">
        <v>51.5</v>
      </c>
      <c r="E3626" s="7">
        <f t="shared" si="56"/>
        <v>111.6</v>
      </c>
      <c r="F3626" s="8"/>
    </row>
    <row r="3627" spans="1:6" ht="18" customHeight="1">
      <c r="A3627" s="4" t="s">
        <v>126</v>
      </c>
      <c r="B3627" s="4" t="str">
        <f>"2020013605"</f>
        <v>2020013605</v>
      </c>
      <c r="C3627" s="5">
        <v>0</v>
      </c>
      <c r="D3627" s="6">
        <v>0</v>
      </c>
      <c r="E3627" s="7">
        <f t="shared" si="56"/>
        <v>0</v>
      </c>
      <c r="F3627" s="9" t="s">
        <v>8</v>
      </c>
    </row>
    <row r="3628" spans="1:6" ht="18" customHeight="1">
      <c r="A3628" s="4" t="s">
        <v>126</v>
      </c>
      <c r="B3628" s="4" t="str">
        <f>"2020020324"</f>
        <v>2020020324</v>
      </c>
      <c r="C3628" s="5">
        <v>0</v>
      </c>
      <c r="D3628" s="6">
        <v>0</v>
      </c>
      <c r="E3628" s="7">
        <f t="shared" si="56"/>
        <v>0</v>
      </c>
      <c r="F3628" s="8" t="s">
        <v>8</v>
      </c>
    </row>
    <row r="3629" spans="1:6" ht="18" customHeight="1">
      <c r="A3629" s="4" t="s">
        <v>126</v>
      </c>
      <c r="B3629" s="4" t="str">
        <f>"2020020917"</f>
        <v>2020020917</v>
      </c>
      <c r="C3629" s="5">
        <v>0</v>
      </c>
      <c r="D3629" s="6">
        <v>0</v>
      </c>
      <c r="E3629" s="7">
        <f t="shared" si="56"/>
        <v>0</v>
      </c>
      <c r="F3629" s="8" t="s">
        <v>8</v>
      </c>
    </row>
    <row r="3630" spans="1:6" ht="18" customHeight="1">
      <c r="A3630" s="4" t="s">
        <v>126</v>
      </c>
      <c r="B3630" s="4" t="str">
        <f>"2020023028"</f>
        <v>2020023028</v>
      </c>
      <c r="C3630" s="5">
        <v>0</v>
      </c>
      <c r="D3630" s="6">
        <v>0</v>
      </c>
      <c r="E3630" s="7">
        <f t="shared" si="56"/>
        <v>0</v>
      </c>
      <c r="F3630" s="8" t="s">
        <v>8</v>
      </c>
    </row>
    <row r="3631" spans="1:6" ht="18" customHeight="1">
      <c r="A3631" s="4" t="s">
        <v>126</v>
      </c>
      <c r="B3631" s="4" t="str">
        <f>"2020031418"</f>
        <v>2020031418</v>
      </c>
      <c r="C3631" s="5">
        <v>0</v>
      </c>
      <c r="D3631" s="6">
        <v>0</v>
      </c>
      <c r="E3631" s="7">
        <f t="shared" si="56"/>
        <v>0</v>
      </c>
      <c r="F3631" s="8" t="s">
        <v>8</v>
      </c>
    </row>
    <row r="3632" spans="1:6" ht="18" customHeight="1">
      <c r="A3632" s="4" t="s">
        <v>126</v>
      </c>
      <c r="B3632" s="4" t="str">
        <f>"2020031812"</f>
        <v>2020031812</v>
      </c>
      <c r="C3632" s="5">
        <v>0</v>
      </c>
      <c r="D3632" s="6">
        <v>0</v>
      </c>
      <c r="E3632" s="7">
        <f t="shared" si="56"/>
        <v>0</v>
      </c>
      <c r="F3632" s="8" t="s">
        <v>8</v>
      </c>
    </row>
    <row r="3633" spans="1:6" ht="18" customHeight="1">
      <c r="A3633" s="4" t="s">
        <v>126</v>
      </c>
      <c r="B3633" s="4" t="str">
        <f>"2020033502"</f>
        <v>2020033502</v>
      </c>
      <c r="C3633" s="5">
        <v>0</v>
      </c>
      <c r="D3633" s="6">
        <v>0</v>
      </c>
      <c r="E3633" s="7">
        <f t="shared" si="56"/>
        <v>0</v>
      </c>
      <c r="F3633" s="8" t="s">
        <v>8</v>
      </c>
    </row>
    <row r="3634" spans="1:6" ht="18" customHeight="1">
      <c r="A3634" s="4" t="s">
        <v>126</v>
      </c>
      <c r="B3634" s="4" t="str">
        <f>"2020045112"</f>
        <v>2020045112</v>
      </c>
      <c r="C3634" s="5">
        <v>0</v>
      </c>
      <c r="D3634" s="6">
        <v>0</v>
      </c>
      <c r="E3634" s="7">
        <f t="shared" si="56"/>
        <v>0</v>
      </c>
      <c r="F3634" s="8" t="s">
        <v>8</v>
      </c>
    </row>
    <row r="3635" spans="1:6" ht="18" customHeight="1">
      <c r="A3635" s="4" t="s">
        <v>126</v>
      </c>
      <c r="B3635" s="4" t="str">
        <f>"2020045809"</f>
        <v>2020045809</v>
      </c>
      <c r="C3635" s="5">
        <v>0</v>
      </c>
      <c r="D3635" s="6">
        <v>0</v>
      </c>
      <c r="E3635" s="7">
        <f t="shared" si="56"/>
        <v>0</v>
      </c>
      <c r="F3635" s="8" t="s">
        <v>8</v>
      </c>
    </row>
    <row r="3636" spans="1:6" ht="18" customHeight="1">
      <c r="A3636" s="4" t="s">
        <v>126</v>
      </c>
      <c r="B3636" s="4" t="str">
        <f>"2020047006"</f>
        <v>2020047006</v>
      </c>
      <c r="C3636" s="5">
        <v>0</v>
      </c>
      <c r="D3636" s="6">
        <v>0</v>
      </c>
      <c r="E3636" s="7">
        <f t="shared" si="56"/>
        <v>0</v>
      </c>
      <c r="F3636" s="8" t="s">
        <v>8</v>
      </c>
    </row>
    <row r="3637" spans="1:6" ht="18" customHeight="1">
      <c r="A3637" s="4" t="s">
        <v>127</v>
      </c>
      <c r="B3637" s="4" t="str">
        <f>"2020041323"</f>
        <v>2020041323</v>
      </c>
      <c r="C3637" s="5">
        <v>82.3</v>
      </c>
      <c r="D3637" s="6">
        <v>91</v>
      </c>
      <c r="E3637" s="7">
        <f t="shared" si="56"/>
        <v>173.3</v>
      </c>
      <c r="F3637" s="8"/>
    </row>
    <row r="3638" spans="1:6" ht="18" customHeight="1">
      <c r="A3638" s="4" t="s">
        <v>127</v>
      </c>
      <c r="B3638" s="4" t="str">
        <f>"2020020201"</f>
        <v>2020020201</v>
      </c>
      <c r="C3638" s="5">
        <v>74.7</v>
      </c>
      <c r="D3638" s="6">
        <v>80.5</v>
      </c>
      <c r="E3638" s="7">
        <f t="shared" si="56"/>
        <v>155.19999999999999</v>
      </c>
      <c r="F3638" s="8"/>
    </row>
    <row r="3639" spans="1:6" ht="18" customHeight="1">
      <c r="A3639" s="4" t="s">
        <v>127</v>
      </c>
      <c r="B3639" s="4" t="str">
        <f>"2020031002"</f>
        <v>2020031002</v>
      </c>
      <c r="C3639" s="5">
        <v>77.099999999999994</v>
      </c>
      <c r="D3639" s="6">
        <v>75.5</v>
      </c>
      <c r="E3639" s="7">
        <f t="shared" si="56"/>
        <v>152.6</v>
      </c>
      <c r="F3639" s="8"/>
    </row>
    <row r="3640" spans="1:6" ht="18" customHeight="1">
      <c r="A3640" s="4" t="s">
        <v>127</v>
      </c>
      <c r="B3640" s="4" t="str">
        <f>"2020020603"</f>
        <v>2020020603</v>
      </c>
      <c r="C3640" s="5">
        <v>69.7</v>
      </c>
      <c r="D3640" s="6">
        <v>74</v>
      </c>
      <c r="E3640" s="7">
        <f t="shared" si="56"/>
        <v>143.69999999999999</v>
      </c>
      <c r="F3640" s="8"/>
    </row>
    <row r="3641" spans="1:6" ht="18" customHeight="1">
      <c r="A3641" s="4" t="s">
        <v>127</v>
      </c>
      <c r="B3641" s="4" t="str">
        <f>"2020023920"</f>
        <v>2020023920</v>
      </c>
      <c r="C3641" s="5">
        <v>66.3</v>
      </c>
      <c r="D3641" s="6">
        <v>75.5</v>
      </c>
      <c r="E3641" s="7">
        <f t="shared" si="56"/>
        <v>141.80000000000001</v>
      </c>
      <c r="F3641" s="8"/>
    </row>
    <row r="3642" spans="1:6" ht="18" customHeight="1">
      <c r="A3642" s="4" t="s">
        <v>127</v>
      </c>
      <c r="B3642" s="4" t="str">
        <f>"2020041025"</f>
        <v>2020041025</v>
      </c>
      <c r="C3642" s="5">
        <v>70.8</v>
      </c>
      <c r="D3642" s="6">
        <v>70.5</v>
      </c>
      <c r="E3642" s="7">
        <f t="shared" si="56"/>
        <v>141.30000000000001</v>
      </c>
      <c r="F3642" s="8"/>
    </row>
    <row r="3643" spans="1:6" ht="18" customHeight="1">
      <c r="A3643" s="4" t="s">
        <v>127</v>
      </c>
      <c r="B3643" s="4" t="str">
        <f>"2020046304"</f>
        <v>2020046304</v>
      </c>
      <c r="C3643" s="5">
        <v>74</v>
      </c>
      <c r="D3643" s="6">
        <v>67</v>
      </c>
      <c r="E3643" s="7">
        <f t="shared" si="56"/>
        <v>141</v>
      </c>
      <c r="F3643" s="8"/>
    </row>
    <row r="3644" spans="1:6" ht="18" customHeight="1">
      <c r="A3644" s="4" t="s">
        <v>127</v>
      </c>
      <c r="B3644" s="4" t="str">
        <f>"2020010226"</f>
        <v>2020010226</v>
      </c>
      <c r="C3644" s="5">
        <v>70.3</v>
      </c>
      <c r="D3644" s="6">
        <v>68.5</v>
      </c>
      <c r="E3644" s="7">
        <f t="shared" si="56"/>
        <v>138.80000000000001</v>
      </c>
      <c r="F3644" s="8"/>
    </row>
    <row r="3645" spans="1:6" ht="18" customHeight="1">
      <c r="A3645" s="4" t="s">
        <v>127</v>
      </c>
      <c r="B3645" s="4" t="str">
        <f>"2020033816"</f>
        <v>2020033816</v>
      </c>
      <c r="C3645" s="5">
        <v>73.599999999999994</v>
      </c>
      <c r="D3645" s="6">
        <v>63</v>
      </c>
      <c r="E3645" s="7">
        <f t="shared" si="56"/>
        <v>136.6</v>
      </c>
      <c r="F3645" s="8"/>
    </row>
    <row r="3646" spans="1:6" ht="18" customHeight="1">
      <c r="A3646" s="4" t="s">
        <v>127</v>
      </c>
      <c r="B3646" s="4" t="str">
        <f>"2020031705"</f>
        <v>2020031705</v>
      </c>
      <c r="C3646" s="5">
        <v>64.3</v>
      </c>
      <c r="D3646" s="6">
        <v>71.5</v>
      </c>
      <c r="E3646" s="7">
        <f t="shared" si="56"/>
        <v>135.80000000000001</v>
      </c>
      <c r="F3646" s="8"/>
    </row>
    <row r="3647" spans="1:6" ht="18" customHeight="1">
      <c r="A3647" s="4" t="s">
        <v>127</v>
      </c>
      <c r="B3647" s="4" t="str">
        <f>"2020044606"</f>
        <v>2020044606</v>
      </c>
      <c r="C3647" s="5">
        <v>63</v>
      </c>
      <c r="D3647" s="6">
        <v>72.5</v>
      </c>
      <c r="E3647" s="7">
        <f t="shared" si="56"/>
        <v>135.5</v>
      </c>
      <c r="F3647" s="8"/>
    </row>
    <row r="3648" spans="1:6" ht="18" customHeight="1">
      <c r="A3648" s="4" t="s">
        <v>127</v>
      </c>
      <c r="B3648" s="4" t="str">
        <f>"2020023120"</f>
        <v>2020023120</v>
      </c>
      <c r="C3648" s="5">
        <v>65.5</v>
      </c>
      <c r="D3648" s="6">
        <v>68</v>
      </c>
      <c r="E3648" s="7">
        <f t="shared" si="56"/>
        <v>133.5</v>
      </c>
      <c r="F3648" s="8"/>
    </row>
    <row r="3649" spans="1:6" ht="18" customHeight="1">
      <c r="A3649" s="4" t="s">
        <v>127</v>
      </c>
      <c r="B3649" s="4" t="str">
        <f>"2020024318"</f>
        <v>2020024318</v>
      </c>
      <c r="C3649" s="5">
        <v>68.599999999999994</v>
      </c>
      <c r="D3649" s="6">
        <v>63</v>
      </c>
      <c r="E3649" s="7">
        <f t="shared" si="56"/>
        <v>131.6</v>
      </c>
      <c r="F3649" s="8"/>
    </row>
    <row r="3650" spans="1:6" ht="18" customHeight="1">
      <c r="A3650" s="4" t="s">
        <v>127</v>
      </c>
      <c r="B3650" s="4" t="str">
        <f>"2020021925"</f>
        <v>2020021925</v>
      </c>
      <c r="C3650" s="5">
        <v>65.900000000000006</v>
      </c>
      <c r="D3650" s="6">
        <v>65.5</v>
      </c>
      <c r="E3650" s="7">
        <f t="shared" si="56"/>
        <v>131.4</v>
      </c>
      <c r="F3650" s="8"/>
    </row>
    <row r="3651" spans="1:6" ht="18" customHeight="1">
      <c r="A3651" s="4" t="s">
        <v>127</v>
      </c>
      <c r="B3651" s="4" t="str">
        <f>"2020013324"</f>
        <v>2020013324</v>
      </c>
      <c r="C3651" s="5">
        <v>68.8</v>
      </c>
      <c r="D3651" s="6">
        <v>62</v>
      </c>
      <c r="E3651" s="7">
        <f t="shared" ref="E3651:E3714" si="57">SUM(C3651:D3651)</f>
        <v>130.80000000000001</v>
      </c>
      <c r="F3651" s="8"/>
    </row>
    <row r="3652" spans="1:6" ht="18" customHeight="1">
      <c r="A3652" s="4" t="s">
        <v>127</v>
      </c>
      <c r="B3652" s="4" t="str">
        <f>"2020023628"</f>
        <v>2020023628</v>
      </c>
      <c r="C3652" s="5">
        <v>63.7</v>
      </c>
      <c r="D3652" s="6">
        <v>67</v>
      </c>
      <c r="E3652" s="7">
        <f t="shared" si="57"/>
        <v>130.69999999999999</v>
      </c>
      <c r="F3652" s="8"/>
    </row>
    <row r="3653" spans="1:6" ht="18" customHeight="1">
      <c r="A3653" s="4" t="s">
        <v>127</v>
      </c>
      <c r="B3653" s="4" t="str">
        <f>"2020044002"</f>
        <v>2020044002</v>
      </c>
      <c r="C3653" s="5">
        <v>66.099999999999994</v>
      </c>
      <c r="D3653" s="6">
        <v>64</v>
      </c>
      <c r="E3653" s="7">
        <f t="shared" si="57"/>
        <v>130.1</v>
      </c>
      <c r="F3653" s="8"/>
    </row>
    <row r="3654" spans="1:6" ht="18" customHeight="1">
      <c r="A3654" s="4" t="s">
        <v>127</v>
      </c>
      <c r="B3654" s="4" t="str">
        <f>"2020043122"</f>
        <v>2020043122</v>
      </c>
      <c r="C3654" s="5">
        <v>68.5</v>
      </c>
      <c r="D3654" s="6">
        <v>60</v>
      </c>
      <c r="E3654" s="7">
        <f t="shared" si="57"/>
        <v>128.5</v>
      </c>
      <c r="F3654" s="8"/>
    </row>
    <row r="3655" spans="1:6" ht="18" customHeight="1">
      <c r="A3655" s="4" t="s">
        <v>127</v>
      </c>
      <c r="B3655" s="4" t="str">
        <f>"2020046729"</f>
        <v>2020046729</v>
      </c>
      <c r="C3655" s="5">
        <v>58.3</v>
      </c>
      <c r="D3655" s="6">
        <v>68.5</v>
      </c>
      <c r="E3655" s="7">
        <f t="shared" si="57"/>
        <v>126.8</v>
      </c>
      <c r="F3655" s="8"/>
    </row>
    <row r="3656" spans="1:6" ht="18" customHeight="1">
      <c r="A3656" s="4" t="s">
        <v>127</v>
      </c>
      <c r="B3656" s="4" t="str">
        <f>"2020014021"</f>
        <v>2020014021</v>
      </c>
      <c r="C3656" s="5">
        <v>66.900000000000006</v>
      </c>
      <c r="D3656" s="6">
        <v>59.5</v>
      </c>
      <c r="E3656" s="7">
        <f t="shared" si="57"/>
        <v>126.4</v>
      </c>
      <c r="F3656" s="8"/>
    </row>
    <row r="3657" spans="1:6" ht="18" customHeight="1">
      <c r="A3657" s="4" t="s">
        <v>127</v>
      </c>
      <c r="B3657" s="4" t="str">
        <f>"2020022419"</f>
        <v>2020022419</v>
      </c>
      <c r="C3657" s="5">
        <v>70.8</v>
      </c>
      <c r="D3657" s="6">
        <v>55.5</v>
      </c>
      <c r="E3657" s="7">
        <f t="shared" si="57"/>
        <v>126.3</v>
      </c>
      <c r="F3657" s="8"/>
    </row>
    <row r="3658" spans="1:6" ht="18" customHeight="1">
      <c r="A3658" s="4" t="s">
        <v>127</v>
      </c>
      <c r="B3658" s="4" t="str">
        <f>"2020020515"</f>
        <v>2020020515</v>
      </c>
      <c r="C3658" s="5">
        <v>67.7</v>
      </c>
      <c r="D3658" s="6">
        <v>56</v>
      </c>
      <c r="E3658" s="7">
        <f t="shared" si="57"/>
        <v>123.7</v>
      </c>
      <c r="F3658" s="8"/>
    </row>
    <row r="3659" spans="1:6" ht="18" customHeight="1">
      <c r="A3659" s="4" t="s">
        <v>127</v>
      </c>
      <c r="B3659" s="4" t="str">
        <f>"2020045513"</f>
        <v>2020045513</v>
      </c>
      <c r="C3659" s="5">
        <v>58.2</v>
      </c>
      <c r="D3659" s="6">
        <v>65.5</v>
      </c>
      <c r="E3659" s="7">
        <f t="shared" si="57"/>
        <v>123.7</v>
      </c>
      <c r="F3659" s="8"/>
    </row>
    <row r="3660" spans="1:6" ht="18" customHeight="1">
      <c r="A3660" s="4" t="s">
        <v>127</v>
      </c>
      <c r="B3660" s="4" t="str">
        <f>"2020030202"</f>
        <v>2020030202</v>
      </c>
      <c r="C3660" s="5">
        <v>66.3</v>
      </c>
      <c r="D3660" s="6">
        <v>55.5</v>
      </c>
      <c r="E3660" s="7">
        <f t="shared" si="57"/>
        <v>121.8</v>
      </c>
      <c r="F3660" s="8"/>
    </row>
    <row r="3661" spans="1:6" ht="18" customHeight="1">
      <c r="A3661" s="4" t="s">
        <v>127</v>
      </c>
      <c r="B3661" s="4" t="str">
        <f>"2020033721"</f>
        <v>2020033721</v>
      </c>
      <c r="C3661" s="5">
        <v>61.7</v>
      </c>
      <c r="D3661" s="6">
        <v>59</v>
      </c>
      <c r="E3661" s="7">
        <f t="shared" si="57"/>
        <v>120.7</v>
      </c>
      <c r="F3661" s="8"/>
    </row>
    <row r="3662" spans="1:6" ht="18" customHeight="1">
      <c r="A3662" s="4" t="s">
        <v>127</v>
      </c>
      <c r="B3662" s="4" t="str">
        <f>"2020042929"</f>
        <v>2020042929</v>
      </c>
      <c r="C3662" s="5">
        <v>67.599999999999994</v>
      </c>
      <c r="D3662" s="6">
        <v>53</v>
      </c>
      <c r="E3662" s="7">
        <f t="shared" si="57"/>
        <v>120.6</v>
      </c>
      <c r="F3662" s="8"/>
    </row>
    <row r="3663" spans="1:6" ht="18" customHeight="1">
      <c r="A3663" s="4" t="s">
        <v>127</v>
      </c>
      <c r="B3663" s="4" t="str">
        <f>"2020044220"</f>
        <v>2020044220</v>
      </c>
      <c r="C3663" s="5">
        <v>66.900000000000006</v>
      </c>
      <c r="D3663" s="6">
        <v>52.5</v>
      </c>
      <c r="E3663" s="7">
        <f t="shared" si="57"/>
        <v>119.4</v>
      </c>
      <c r="F3663" s="8"/>
    </row>
    <row r="3664" spans="1:6" ht="18" customHeight="1">
      <c r="A3664" s="4" t="s">
        <v>127</v>
      </c>
      <c r="B3664" s="4" t="str">
        <f>"2020045712"</f>
        <v>2020045712</v>
      </c>
      <c r="C3664" s="5">
        <v>60</v>
      </c>
      <c r="D3664" s="6">
        <v>58.5</v>
      </c>
      <c r="E3664" s="7">
        <f t="shared" si="57"/>
        <v>118.5</v>
      </c>
      <c r="F3664" s="8"/>
    </row>
    <row r="3665" spans="1:6" ht="18" customHeight="1">
      <c r="A3665" s="4" t="s">
        <v>127</v>
      </c>
      <c r="B3665" s="4" t="str">
        <f>"2020023303"</f>
        <v>2020023303</v>
      </c>
      <c r="C3665" s="5">
        <v>64.7</v>
      </c>
      <c r="D3665" s="6">
        <v>53.5</v>
      </c>
      <c r="E3665" s="7">
        <f t="shared" si="57"/>
        <v>118.2</v>
      </c>
      <c r="F3665" s="8"/>
    </row>
    <row r="3666" spans="1:6" ht="18" customHeight="1">
      <c r="A3666" s="4" t="s">
        <v>127</v>
      </c>
      <c r="B3666" s="4" t="str">
        <f>"2020012209"</f>
        <v>2020012209</v>
      </c>
      <c r="C3666" s="5">
        <v>59.7</v>
      </c>
      <c r="D3666" s="6">
        <v>55</v>
      </c>
      <c r="E3666" s="7">
        <f t="shared" si="57"/>
        <v>114.7</v>
      </c>
      <c r="F3666" s="8"/>
    </row>
    <row r="3667" spans="1:6" ht="18" customHeight="1">
      <c r="A3667" s="4" t="s">
        <v>127</v>
      </c>
      <c r="B3667" s="4" t="str">
        <f>"2020042403"</f>
        <v>2020042403</v>
      </c>
      <c r="C3667" s="5">
        <v>59.9</v>
      </c>
      <c r="D3667" s="6">
        <v>53.5</v>
      </c>
      <c r="E3667" s="7">
        <f t="shared" si="57"/>
        <v>113.4</v>
      </c>
      <c r="F3667" s="8"/>
    </row>
    <row r="3668" spans="1:6" ht="18" customHeight="1">
      <c r="A3668" s="4" t="s">
        <v>127</v>
      </c>
      <c r="B3668" s="4" t="str">
        <f>"2020042925"</f>
        <v>2020042925</v>
      </c>
      <c r="C3668" s="5">
        <v>61.7</v>
      </c>
      <c r="D3668" s="6">
        <v>51</v>
      </c>
      <c r="E3668" s="7">
        <f t="shared" si="57"/>
        <v>112.7</v>
      </c>
      <c r="F3668" s="8"/>
    </row>
    <row r="3669" spans="1:6" ht="18" customHeight="1">
      <c r="A3669" s="4" t="s">
        <v>127</v>
      </c>
      <c r="B3669" s="4" t="str">
        <f>"2020010518"</f>
        <v>2020010518</v>
      </c>
      <c r="C3669" s="5">
        <v>59.2</v>
      </c>
      <c r="D3669" s="6">
        <v>53.5</v>
      </c>
      <c r="E3669" s="7">
        <f t="shared" si="57"/>
        <v>112.7</v>
      </c>
      <c r="F3669" s="8"/>
    </row>
    <row r="3670" spans="1:6" ht="18" customHeight="1">
      <c r="A3670" s="4" t="s">
        <v>127</v>
      </c>
      <c r="B3670" s="4" t="str">
        <f>"2020021810"</f>
        <v>2020021810</v>
      </c>
      <c r="C3670" s="5">
        <v>56.9</v>
      </c>
      <c r="D3670" s="6">
        <v>52</v>
      </c>
      <c r="E3670" s="7">
        <f t="shared" si="57"/>
        <v>108.9</v>
      </c>
      <c r="F3670" s="8"/>
    </row>
    <row r="3671" spans="1:6" ht="18" customHeight="1">
      <c r="A3671" s="4" t="s">
        <v>127</v>
      </c>
      <c r="B3671" s="4" t="str">
        <f>"2020010408"</f>
        <v>2020010408</v>
      </c>
      <c r="C3671" s="5">
        <v>51.4</v>
      </c>
      <c r="D3671" s="6">
        <v>56</v>
      </c>
      <c r="E3671" s="7">
        <f t="shared" si="57"/>
        <v>107.4</v>
      </c>
      <c r="F3671" s="8"/>
    </row>
    <row r="3672" spans="1:6" ht="18" customHeight="1">
      <c r="A3672" s="4" t="s">
        <v>127</v>
      </c>
      <c r="B3672" s="4" t="str">
        <f>"2020040114"</f>
        <v>2020040114</v>
      </c>
      <c r="C3672" s="5">
        <v>68.3</v>
      </c>
      <c r="D3672" s="6">
        <v>38</v>
      </c>
      <c r="E3672" s="7">
        <f t="shared" si="57"/>
        <v>106.3</v>
      </c>
      <c r="F3672" s="8"/>
    </row>
    <row r="3673" spans="1:6" ht="18" customHeight="1">
      <c r="A3673" s="4" t="s">
        <v>127</v>
      </c>
      <c r="B3673" s="4" t="str">
        <f>"2020021507"</f>
        <v>2020021507</v>
      </c>
      <c r="C3673" s="5">
        <v>55.9</v>
      </c>
      <c r="D3673" s="6">
        <v>49</v>
      </c>
      <c r="E3673" s="7">
        <f t="shared" si="57"/>
        <v>104.9</v>
      </c>
      <c r="F3673" s="8"/>
    </row>
    <row r="3674" spans="1:6" ht="18" customHeight="1">
      <c r="A3674" s="4" t="s">
        <v>127</v>
      </c>
      <c r="B3674" s="4" t="str">
        <f>"2020046606"</f>
        <v>2020046606</v>
      </c>
      <c r="C3674" s="5">
        <v>64.400000000000006</v>
      </c>
      <c r="D3674" s="6">
        <v>39</v>
      </c>
      <c r="E3674" s="7">
        <f t="shared" si="57"/>
        <v>103.4</v>
      </c>
      <c r="F3674" s="8"/>
    </row>
    <row r="3675" spans="1:6" ht="18" customHeight="1">
      <c r="A3675" s="4" t="s">
        <v>127</v>
      </c>
      <c r="B3675" s="4" t="str">
        <f>"2020042130"</f>
        <v>2020042130</v>
      </c>
      <c r="C3675" s="5">
        <v>54.3</v>
      </c>
      <c r="D3675" s="6">
        <v>49</v>
      </c>
      <c r="E3675" s="7">
        <f t="shared" si="57"/>
        <v>103.3</v>
      </c>
      <c r="F3675" s="8"/>
    </row>
    <row r="3676" spans="1:6" ht="18" customHeight="1">
      <c r="A3676" s="4" t="s">
        <v>127</v>
      </c>
      <c r="B3676" s="4" t="str">
        <f>"2020046310"</f>
        <v>2020046310</v>
      </c>
      <c r="C3676" s="5">
        <v>55.7</v>
      </c>
      <c r="D3676" s="6">
        <v>17</v>
      </c>
      <c r="E3676" s="7">
        <f t="shared" si="57"/>
        <v>72.7</v>
      </c>
      <c r="F3676" s="8"/>
    </row>
    <row r="3677" spans="1:6" ht="18" customHeight="1">
      <c r="A3677" s="4" t="s">
        <v>127</v>
      </c>
      <c r="B3677" s="4" t="str">
        <f>"2020022907"</f>
        <v>2020022907</v>
      </c>
      <c r="C3677" s="5">
        <v>0</v>
      </c>
      <c r="D3677" s="6">
        <v>0</v>
      </c>
      <c r="E3677" s="7">
        <f t="shared" si="57"/>
        <v>0</v>
      </c>
      <c r="F3677" s="8" t="s">
        <v>8</v>
      </c>
    </row>
    <row r="3678" spans="1:6" ht="18" customHeight="1">
      <c r="A3678" s="4" t="s">
        <v>127</v>
      </c>
      <c r="B3678" s="4" t="str">
        <f>"2020023510"</f>
        <v>2020023510</v>
      </c>
      <c r="C3678" s="5">
        <v>0</v>
      </c>
      <c r="D3678" s="6">
        <v>0</v>
      </c>
      <c r="E3678" s="7">
        <f t="shared" si="57"/>
        <v>0</v>
      </c>
      <c r="F3678" s="8" t="s">
        <v>8</v>
      </c>
    </row>
    <row r="3679" spans="1:6" ht="18" customHeight="1">
      <c r="A3679" s="4" t="s">
        <v>127</v>
      </c>
      <c r="B3679" s="4" t="str">
        <f>"2020032003"</f>
        <v>2020032003</v>
      </c>
      <c r="C3679" s="5">
        <v>0</v>
      </c>
      <c r="D3679" s="6">
        <v>0</v>
      </c>
      <c r="E3679" s="7">
        <f t="shared" si="57"/>
        <v>0</v>
      </c>
      <c r="F3679" s="8" t="s">
        <v>8</v>
      </c>
    </row>
    <row r="3680" spans="1:6" ht="18" customHeight="1">
      <c r="A3680" s="4" t="s">
        <v>127</v>
      </c>
      <c r="B3680" s="4" t="str">
        <f>"2020032103"</f>
        <v>2020032103</v>
      </c>
      <c r="C3680" s="5">
        <v>0</v>
      </c>
      <c r="D3680" s="6">
        <v>0</v>
      </c>
      <c r="E3680" s="7">
        <f t="shared" si="57"/>
        <v>0</v>
      </c>
      <c r="F3680" s="8" t="s">
        <v>8</v>
      </c>
    </row>
    <row r="3681" spans="1:6" ht="18" customHeight="1">
      <c r="A3681" s="4" t="s">
        <v>127</v>
      </c>
      <c r="B3681" s="4" t="str">
        <f>"2020032328"</f>
        <v>2020032328</v>
      </c>
      <c r="C3681" s="5">
        <v>0</v>
      </c>
      <c r="D3681" s="6">
        <v>0</v>
      </c>
      <c r="E3681" s="7">
        <f t="shared" si="57"/>
        <v>0</v>
      </c>
      <c r="F3681" s="8" t="s">
        <v>8</v>
      </c>
    </row>
    <row r="3682" spans="1:6" ht="18" customHeight="1">
      <c r="A3682" s="4" t="s">
        <v>127</v>
      </c>
      <c r="B3682" s="4" t="str">
        <f>"2020032815"</f>
        <v>2020032815</v>
      </c>
      <c r="C3682" s="5">
        <v>0</v>
      </c>
      <c r="D3682" s="6">
        <v>0</v>
      </c>
      <c r="E3682" s="7">
        <f t="shared" si="57"/>
        <v>0</v>
      </c>
      <c r="F3682" s="8" t="s">
        <v>8</v>
      </c>
    </row>
    <row r="3683" spans="1:6" ht="18" customHeight="1">
      <c r="A3683" s="4" t="s">
        <v>127</v>
      </c>
      <c r="B3683" s="4" t="str">
        <f>"2020033328"</f>
        <v>2020033328</v>
      </c>
      <c r="C3683" s="5">
        <v>0</v>
      </c>
      <c r="D3683" s="6">
        <v>0</v>
      </c>
      <c r="E3683" s="7">
        <f t="shared" si="57"/>
        <v>0</v>
      </c>
      <c r="F3683" s="8" t="s">
        <v>8</v>
      </c>
    </row>
    <row r="3684" spans="1:6" ht="18" customHeight="1">
      <c r="A3684" s="4" t="s">
        <v>127</v>
      </c>
      <c r="B3684" s="4" t="str">
        <f>"2020033608"</f>
        <v>2020033608</v>
      </c>
      <c r="C3684" s="5">
        <v>0</v>
      </c>
      <c r="D3684" s="6">
        <v>0</v>
      </c>
      <c r="E3684" s="7">
        <f t="shared" si="57"/>
        <v>0</v>
      </c>
      <c r="F3684" s="8" t="s">
        <v>8</v>
      </c>
    </row>
    <row r="3685" spans="1:6" ht="18" customHeight="1">
      <c r="A3685" s="4" t="s">
        <v>127</v>
      </c>
      <c r="B3685" s="4" t="str">
        <f>"2020033619"</f>
        <v>2020033619</v>
      </c>
      <c r="C3685" s="5">
        <v>0</v>
      </c>
      <c r="D3685" s="6">
        <v>0</v>
      </c>
      <c r="E3685" s="7">
        <f t="shared" si="57"/>
        <v>0</v>
      </c>
      <c r="F3685" s="8" t="s">
        <v>8</v>
      </c>
    </row>
    <row r="3686" spans="1:6" ht="18" customHeight="1">
      <c r="A3686" s="4" t="s">
        <v>127</v>
      </c>
      <c r="B3686" s="4" t="str">
        <f>"2020041308"</f>
        <v>2020041308</v>
      </c>
      <c r="C3686" s="5">
        <v>0</v>
      </c>
      <c r="D3686" s="6">
        <v>0</v>
      </c>
      <c r="E3686" s="7">
        <f t="shared" si="57"/>
        <v>0</v>
      </c>
      <c r="F3686" s="8" t="s">
        <v>8</v>
      </c>
    </row>
    <row r="3687" spans="1:6" ht="18" customHeight="1">
      <c r="A3687" s="4" t="s">
        <v>127</v>
      </c>
      <c r="B3687" s="4" t="str">
        <f>"2020044928"</f>
        <v>2020044928</v>
      </c>
      <c r="C3687" s="5">
        <v>0</v>
      </c>
      <c r="D3687" s="6">
        <v>0</v>
      </c>
      <c r="E3687" s="7">
        <f t="shared" si="57"/>
        <v>0</v>
      </c>
      <c r="F3687" s="8" t="s">
        <v>8</v>
      </c>
    </row>
    <row r="3688" spans="1:6" ht="18" customHeight="1">
      <c r="A3688" s="4" t="s">
        <v>127</v>
      </c>
      <c r="B3688" s="4" t="str">
        <f>"2020046612"</f>
        <v>2020046612</v>
      </c>
      <c r="C3688" s="5">
        <v>0</v>
      </c>
      <c r="D3688" s="6">
        <v>0</v>
      </c>
      <c r="E3688" s="7">
        <f t="shared" si="57"/>
        <v>0</v>
      </c>
      <c r="F3688" s="8" t="s">
        <v>8</v>
      </c>
    </row>
    <row r="3689" spans="1:6" ht="18" customHeight="1">
      <c r="A3689" s="4" t="s">
        <v>127</v>
      </c>
      <c r="B3689" s="4" t="str">
        <f>"2020047604"</f>
        <v>2020047604</v>
      </c>
      <c r="C3689" s="5">
        <v>0</v>
      </c>
      <c r="D3689" s="6">
        <v>0</v>
      </c>
      <c r="E3689" s="7">
        <f t="shared" si="57"/>
        <v>0</v>
      </c>
      <c r="F3689" s="8" t="s">
        <v>8</v>
      </c>
    </row>
    <row r="3690" spans="1:6" ht="18" customHeight="1">
      <c r="A3690" s="4" t="s">
        <v>128</v>
      </c>
      <c r="B3690" s="4" t="str">
        <f>"2020046001"</f>
        <v>2020046001</v>
      </c>
      <c r="C3690" s="5">
        <v>71.3</v>
      </c>
      <c r="D3690" s="6">
        <v>66.5</v>
      </c>
      <c r="E3690" s="7">
        <f t="shared" si="57"/>
        <v>137.80000000000001</v>
      </c>
      <c r="F3690" s="8"/>
    </row>
    <row r="3691" spans="1:6" ht="18" customHeight="1">
      <c r="A3691" s="4" t="s">
        <v>128</v>
      </c>
      <c r="B3691" s="4" t="str">
        <f>"2020045615"</f>
        <v>2020045615</v>
      </c>
      <c r="C3691" s="5">
        <v>63.4</v>
      </c>
      <c r="D3691" s="6">
        <v>58</v>
      </c>
      <c r="E3691" s="7">
        <f t="shared" si="57"/>
        <v>121.4</v>
      </c>
      <c r="F3691" s="8"/>
    </row>
    <row r="3692" spans="1:6" ht="18" customHeight="1">
      <c r="A3692" s="4" t="s">
        <v>128</v>
      </c>
      <c r="B3692" s="4" t="str">
        <f>"2020020127"</f>
        <v>2020020127</v>
      </c>
      <c r="C3692" s="5">
        <v>64.3</v>
      </c>
      <c r="D3692" s="6">
        <v>56</v>
      </c>
      <c r="E3692" s="7">
        <f t="shared" si="57"/>
        <v>120.3</v>
      </c>
      <c r="F3692" s="8"/>
    </row>
    <row r="3693" spans="1:6" ht="18" customHeight="1">
      <c r="A3693" s="4" t="s">
        <v>128</v>
      </c>
      <c r="B3693" s="4" t="str">
        <f>"2020010717"</f>
        <v>2020010717</v>
      </c>
      <c r="C3693" s="5">
        <v>64.900000000000006</v>
      </c>
      <c r="D3693" s="6">
        <v>39</v>
      </c>
      <c r="E3693" s="7">
        <f t="shared" si="57"/>
        <v>103.9</v>
      </c>
      <c r="F3693" s="8"/>
    </row>
    <row r="3694" spans="1:6" ht="18" customHeight="1">
      <c r="A3694" s="4" t="s">
        <v>129</v>
      </c>
      <c r="B3694" s="4" t="str">
        <f>"2020022812"</f>
        <v>2020022812</v>
      </c>
      <c r="C3694" s="5">
        <v>71.5</v>
      </c>
      <c r="D3694" s="6">
        <v>86</v>
      </c>
      <c r="E3694" s="7">
        <f t="shared" si="57"/>
        <v>157.5</v>
      </c>
      <c r="F3694" s="8"/>
    </row>
    <row r="3695" spans="1:6" ht="18" customHeight="1">
      <c r="A3695" s="4" t="s">
        <v>129</v>
      </c>
      <c r="B3695" s="4" t="str">
        <f>"2020023601"</f>
        <v>2020023601</v>
      </c>
      <c r="C3695" s="5">
        <v>61.2</v>
      </c>
      <c r="D3695" s="6">
        <v>68.5</v>
      </c>
      <c r="E3695" s="7">
        <f t="shared" si="57"/>
        <v>129.69999999999999</v>
      </c>
      <c r="F3695" s="8"/>
    </row>
    <row r="3696" spans="1:6" ht="18" customHeight="1">
      <c r="A3696" s="4" t="s">
        <v>129</v>
      </c>
      <c r="B3696" s="4" t="str">
        <f>"2020043813"</f>
        <v>2020043813</v>
      </c>
      <c r="C3696" s="5">
        <v>53.7</v>
      </c>
      <c r="D3696" s="6">
        <v>40.5</v>
      </c>
      <c r="E3696" s="7">
        <f t="shared" si="57"/>
        <v>94.2</v>
      </c>
      <c r="F3696" s="8"/>
    </row>
    <row r="3697" spans="1:6" ht="18" customHeight="1">
      <c r="A3697" s="4" t="s">
        <v>129</v>
      </c>
      <c r="B3697" s="4" t="str">
        <f>"2020040124"</f>
        <v>2020040124</v>
      </c>
      <c r="C3697" s="5">
        <v>0</v>
      </c>
      <c r="D3697" s="6">
        <v>0</v>
      </c>
      <c r="E3697" s="7">
        <f t="shared" si="57"/>
        <v>0</v>
      </c>
      <c r="F3697" s="8" t="s">
        <v>8</v>
      </c>
    </row>
    <row r="3698" spans="1:6" ht="18" customHeight="1">
      <c r="A3698" s="4" t="s">
        <v>130</v>
      </c>
      <c r="B3698" s="4" t="str">
        <f>"2020014020"</f>
        <v>2020014020</v>
      </c>
      <c r="C3698" s="5">
        <v>63.2</v>
      </c>
      <c r="D3698" s="6">
        <v>62.5</v>
      </c>
      <c r="E3698" s="7">
        <f t="shared" si="57"/>
        <v>125.7</v>
      </c>
      <c r="F3698" s="8"/>
    </row>
    <row r="3699" spans="1:6" ht="18" customHeight="1">
      <c r="A3699" s="4" t="s">
        <v>130</v>
      </c>
      <c r="B3699" s="4" t="str">
        <f>"2020044312"</f>
        <v>2020044312</v>
      </c>
      <c r="C3699" s="5">
        <v>61.4</v>
      </c>
      <c r="D3699" s="6">
        <v>58.5</v>
      </c>
      <c r="E3699" s="7">
        <f t="shared" si="57"/>
        <v>119.9</v>
      </c>
      <c r="F3699" s="8"/>
    </row>
    <row r="3700" spans="1:6" ht="18" customHeight="1">
      <c r="A3700" s="4" t="s">
        <v>130</v>
      </c>
      <c r="B3700" s="4" t="str">
        <f>"2020046502"</f>
        <v>2020046502</v>
      </c>
      <c r="C3700" s="5">
        <v>55.5</v>
      </c>
      <c r="D3700" s="6">
        <v>58.5</v>
      </c>
      <c r="E3700" s="7">
        <f t="shared" si="57"/>
        <v>114</v>
      </c>
      <c r="F3700" s="8"/>
    </row>
    <row r="3701" spans="1:6" ht="18" customHeight="1">
      <c r="A3701" s="4" t="s">
        <v>130</v>
      </c>
      <c r="B3701" s="4" t="str">
        <f>"2020030226"</f>
        <v>2020030226</v>
      </c>
      <c r="C3701" s="5">
        <v>64.3</v>
      </c>
      <c r="D3701" s="6">
        <v>48.5</v>
      </c>
      <c r="E3701" s="7">
        <f t="shared" si="57"/>
        <v>112.8</v>
      </c>
      <c r="F3701" s="8"/>
    </row>
    <row r="3702" spans="1:6" ht="18" customHeight="1">
      <c r="A3702" s="4" t="s">
        <v>130</v>
      </c>
      <c r="B3702" s="4" t="str">
        <f>"2020032912"</f>
        <v>2020032912</v>
      </c>
      <c r="C3702" s="5">
        <v>61.7</v>
      </c>
      <c r="D3702" s="6">
        <v>49</v>
      </c>
      <c r="E3702" s="7">
        <f t="shared" si="57"/>
        <v>110.7</v>
      </c>
      <c r="F3702" s="8"/>
    </row>
    <row r="3703" spans="1:6" ht="18" customHeight="1">
      <c r="A3703" s="4" t="s">
        <v>130</v>
      </c>
      <c r="B3703" s="4" t="str">
        <f>"2020012718"</f>
        <v>2020012718</v>
      </c>
      <c r="C3703" s="5">
        <v>59</v>
      </c>
      <c r="D3703" s="6">
        <v>51.5</v>
      </c>
      <c r="E3703" s="7">
        <f t="shared" si="57"/>
        <v>110.5</v>
      </c>
      <c r="F3703" s="8"/>
    </row>
    <row r="3704" spans="1:6" ht="18" customHeight="1">
      <c r="A3704" s="4" t="s">
        <v>130</v>
      </c>
      <c r="B3704" s="4" t="str">
        <f>"2020041201"</f>
        <v>2020041201</v>
      </c>
      <c r="C3704" s="5">
        <v>51.1</v>
      </c>
      <c r="D3704" s="6">
        <v>57</v>
      </c>
      <c r="E3704" s="7">
        <f t="shared" si="57"/>
        <v>108.1</v>
      </c>
      <c r="F3704" s="8"/>
    </row>
    <row r="3705" spans="1:6" ht="18" customHeight="1">
      <c r="A3705" s="4" t="s">
        <v>130</v>
      </c>
      <c r="B3705" s="4" t="str">
        <f>"2020011104"</f>
        <v>2020011104</v>
      </c>
      <c r="C3705" s="5">
        <v>53.5</v>
      </c>
      <c r="D3705" s="6">
        <v>48</v>
      </c>
      <c r="E3705" s="7">
        <f t="shared" si="57"/>
        <v>101.5</v>
      </c>
      <c r="F3705" s="8"/>
    </row>
    <row r="3706" spans="1:6" ht="18" customHeight="1">
      <c r="A3706" s="4" t="s">
        <v>130</v>
      </c>
      <c r="B3706" s="4" t="str">
        <f>"2020046924"</f>
        <v>2020046924</v>
      </c>
      <c r="C3706" s="5">
        <v>50.6</v>
      </c>
      <c r="D3706" s="6">
        <v>44</v>
      </c>
      <c r="E3706" s="7">
        <f t="shared" si="57"/>
        <v>94.6</v>
      </c>
      <c r="F3706" s="8"/>
    </row>
    <row r="3707" spans="1:6" ht="18" customHeight="1">
      <c r="A3707" s="4" t="s">
        <v>130</v>
      </c>
      <c r="B3707" s="4" t="str">
        <f>"2020033605"</f>
        <v>2020033605</v>
      </c>
      <c r="C3707" s="5">
        <v>54.1</v>
      </c>
      <c r="D3707" s="6">
        <v>29</v>
      </c>
      <c r="E3707" s="7">
        <f t="shared" si="57"/>
        <v>83.1</v>
      </c>
      <c r="F3707" s="8"/>
    </row>
    <row r="3708" spans="1:6" ht="18" customHeight="1">
      <c r="A3708" s="4" t="s">
        <v>130</v>
      </c>
      <c r="B3708" s="4" t="str">
        <f>"2020024523"</f>
        <v>2020024523</v>
      </c>
      <c r="C3708" s="5">
        <v>0</v>
      </c>
      <c r="D3708" s="6">
        <v>0</v>
      </c>
      <c r="E3708" s="7">
        <f t="shared" si="57"/>
        <v>0</v>
      </c>
      <c r="F3708" s="8" t="s">
        <v>8</v>
      </c>
    </row>
    <row r="3709" spans="1:6" ht="18" customHeight="1">
      <c r="A3709" s="4" t="s">
        <v>130</v>
      </c>
      <c r="B3709" s="4" t="str">
        <f>"2020046724"</f>
        <v>2020046724</v>
      </c>
      <c r="C3709" s="5">
        <v>0</v>
      </c>
      <c r="D3709" s="6">
        <v>0</v>
      </c>
      <c r="E3709" s="7">
        <f t="shared" si="57"/>
        <v>0</v>
      </c>
      <c r="F3709" s="8" t="s">
        <v>8</v>
      </c>
    </row>
    <row r="3710" spans="1:6" ht="18" customHeight="1">
      <c r="A3710" s="4" t="s">
        <v>131</v>
      </c>
      <c r="B3710" s="4" t="str">
        <f>"2020013630"</f>
        <v>2020013630</v>
      </c>
      <c r="C3710" s="5">
        <v>75.2</v>
      </c>
      <c r="D3710" s="6">
        <v>78.5</v>
      </c>
      <c r="E3710" s="7">
        <f t="shared" si="57"/>
        <v>153.69999999999999</v>
      </c>
      <c r="F3710" s="8"/>
    </row>
    <row r="3711" spans="1:6" ht="18" customHeight="1">
      <c r="A3711" s="4" t="s">
        <v>131</v>
      </c>
      <c r="B3711" s="4" t="str">
        <f>"2020011327"</f>
        <v>2020011327</v>
      </c>
      <c r="C3711" s="5">
        <v>73.3</v>
      </c>
      <c r="D3711" s="6">
        <v>78.5</v>
      </c>
      <c r="E3711" s="7">
        <f t="shared" si="57"/>
        <v>151.80000000000001</v>
      </c>
      <c r="F3711" s="8"/>
    </row>
    <row r="3712" spans="1:6" ht="18" customHeight="1">
      <c r="A3712" s="4" t="s">
        <v>131</v>
      </c>
      <c r="B3712" s="4" t="str">
        <f>"2020024008"</f>
        <v>2020024008</v>
      </c>
      <c r="C3712" s="5">
        <v>78.099999999999994</v>
      </c>
      <c r="D3712" s="6">
        <v>69.5</v>
      </c>
      <c r="E3712" s="7">
        <f t="shared" si="57"/>
        <v>147.6</v>
      </c>
      <c r="F3712" s="8"/>
    </row>
    <row r="3713" spans="1:6" ht="18" customHeight="1">
      <c r="A3713" s="4" t="s">
        <v>131</v>
      </c>
      <c r="B3713" s="4" t="str">
        <f>"2020043709"</f>
        <v>2020043709</v>
      </c>
      <c r="C3713" s="5">
        <v>71.099999999999994</v>
      </c>
      <c r="D3713" s="6">
        <v>74.5</v>
      </c>
      <c r="E3713" s="7">
        <f t="shared" si="57"/>
        <v>145.6</v>
      </c>
      <c r="F3713" s="9" t="s">
        <v>13</v>
      </c>
    </row>
    <row r="3714" spans="1:6" ht="18" customHeight="1">
      <c r="A3714" s="4" t="s">
        <v>131</v>
      </c>
      <c r="B3714" s="4" t="str">
        <f>"2020042325"</f>
        <v>2020042325</v>
      </c>
      <c r="C3714" s="5">
        <v>76.900000000000006</v>
      </c>
      <c r="D3714" s="6">
        <v>67.5</v>
      </c>
      <c r="E3714" s="7">
        <f t="shared" si="57"/>
        <v>144.4</v>
      </c>
      <c r="F3714" s="8"/>
    </row>
    <row r="3715" spans="1:6" ht="18" customHeight="1">
      <c r="A3715" s="4" t="s">
        <v>131</v>
      </c>
      <c r="B3715" s="4" t="str">
        <f>"2020041807"</f>
        <v>2020041807</v>
      </c>
      <c r="C3715" s="5">
        <v>63.4</v>
      </c>
      <c r="D3715" s="6">
        <v>80.5</v>
      </c>
      <c r="E3715" s="7">
        <f t="shared" ref="E3715:E3778" si="58">SUM(C3715:D3715)</f>
        <v>143.9</v>
      </c>
      <c r="F3715" s="9" t="s">
        <v>13</v>
      </c>
    </row>
    <row r="3716" spans="1:6" ht="18" customHeight="1">
      <c r="A3716" s="4" t="s">
        <v>131</v>
      </c>
      <c r="B3716" s="4" t="str">
        <f>"2020042917"</f>
        <v>2020042917</v>
      </c>
      <c r="C3716" s="5">
        <v>67.900000000000006</v>
      </c>
      <c r="D3716" s="6">
        <v>72</v>
      </c>
      <c r="E3716" s="7">
        <f t="shared" si="58"/>
        <v>139.9</v>
      </c>
      <c r="F3716" s="8"/>
    </row>
    <row r="3717" spans="1:6" ht="18" customHeight="1">
      <c r="A3717" s="4" t="s">
        <v>131</v>
      </c>
      <c r="B3717" s="4" t="str">
        <f>"2020023219"</f>
        <v>2020023219</v>
      </c>
      <c r="C3717" s="5">
        <v>69.5</v>
      </c>
      <c r="D3717" s="6">
        <v>70</v>
      </c>
      <c r="E3717" s="7">
        <f t="shared" si="58"/>
        <v>139.5</v>
      </c>
      <c r="F3717" s="8"/>
    </row>
    <row r="3718" spans="1:6" ht="18" customHeight="1">
      <c r="A3718" s="4" t="s">
        <v>131</v>
      </c>
      <c r="B3718" s="4" t="str">
        <f>"2020021216"</f>
        <v>2020021216</v>
      </c>
      <c r="C3718" s="5">
        <v>64.400000000000006</v>
      </c>
      <c r="D3718" s="6">
        <v>74</v>
      </c>
      <c r="E3718" s="7">
        <f t="shared" si="58"/>
        <v>138.4</v>
      </c>
      <c r="F3718" s="8"/>
    </row>
    <row r="3719" spans="1:6" ht="18" customHeight="1">
      <c r="A3719" s="4" t="s">
        <v>131</v>
      </c>
      <c r="B3719" s="4" t="str">
        <f>"2020042423"</f>
        <v>2020042423</v>
      </c>
      <c r="C3719" s="5">
        <v>74.599999999999994</v>
      </c>
      <c r="D3719" s="6">
        <v>63</v>
      </c>
      <c r="E3719" s="7">
        <f t="shared" si="58"/>
        <v>137.6</v>
      </c>
      <c r="F3719" s="8"/>
    </row>
    <row r="3720" spans="1:6" ht="18" customHeight="1">
      <c r="A3720" s="4" t="s">
        <v>131</v>
      </c>
      <c r="B3720" s="4" t="str">
        <f>"2020032324"</f>
        <v>2020032324</v>
      </c>
      <c r="C3720" s="5">
        <v>68.8</v>
      </c>
      <c r="D3720" s="6">
        <v>68.5</v>
      </c>
      <c r="E3720" s="7">
        <f t="shared" si="58"/>
        <v>137.30000000000001</v>
      </c>
      <c r="F3720" s="8"/>
    </row>
    <row r="3721" spans="1:6" ht="18" customHeight="1">
      <c r="A3721" s="4" t="s">
        <v>131</v>
      </c>
      <c r="B3721" s="4" t="str">
        <f>"2020022825"</f>
        <v>2020022825</v>
      </c>
      <c r="C3721" s="5">
        <v>73.099999999999994</v>
      </c>
      <c r="D3721" s="6">
        <v>63.5</v>
      </c>
      <c r="E3721" s="7">
        <f t="shared" si="58"/>
        <v>136.6</v>
      </c>
      <c r="F3721" s="8"/>
    </row>
    <row r="3722" spans="1:6" ht="18" customHeight="1">
      <c r="A3722" s="4" t="s">
        <v>131</v>
      </c>
      <c r="B3722" s="4" t="str">
        <f>"2020013706"</f>
        <v>2020013706</v>
      </c>
      <c r="C3722" s="5">
        <v>73.400000000000006</v>
      </c>
      <c r="D3722" s="6">
        <v>61</v>
      </c>
      <c r="E3722" s="7">
        <f t="shared" si="58"/>
        <v>134.4</v>
      </c>
      <c r="F3722" s="8"/>
    </row>
    <row r="3723" spans="1:6" ht="18" customHeight="1">
      <c r="A3723" s="4" t="s">
        <v>131</v>
      </c>
      <c r="B3723" s="4" t="str">
        <f>"2020033926"</f>
        <v>2020033926</v>
      </c>
      <c r="C3723" s="5">
        <v>73.2</v>
      </c>
      <c r="D3723" s="6">
        <v>61</v>
      </c>
      <c r="E3723" s="7">
        <f t="shared" si="58"/>
        <v>134.19999999999999</v>
      </c>
      <c r="F3723" s="8"/>
    </row>
    <row r="3724" spans="1:6" ht="18" customHeight="1">
      <c r="A3724" s="4" t="s">
        <v>131</v>
      </c>
      <c r="B3724" s="4" t="str">
        <f>"2020022104"</f>
        <v>2020022104</v>
      </c>
      <c r="C3724" s="5">
        <v>63.5</v>
      </c>
      <c r="D3724" s="6">
        <v>69</v>
      </c>
      <c r="E3724" s="7">
        <f t="shared" si="58"/>
        <v>132.5</v>
      </c>
      <c r="F3724" s="8"/>
    </row>
    <row r="3725" spans="1:6" ht="18" customHeight="1">
      <c r="A3725" s="4" t="s">
        <v>131</v>
      </c>
      <c r="B3725" s="4" t="str">
        <f>"2020031424"</f>
        <v>2020031424</v>
      </c>
      <c r="C3725" s="5">
        <v>63.5</v>
      </c>
      <c r="D3725" s="6">
        <v>69</v>
      </c>
      <c r="E3725" s="7">
        <f t="shared" si="58"/>
        <v>132.5</v>
      </c>
      <c r="F3725" s="8"/>
    </row>
    <row r="3726" spans="1:6" ht="18" customHeight="1">
      <c r="A3726" s="4" t="s">
        <v>131</v>
      </c>
      <c r="B3726" s="4" t="str">
        <f>"2020023310"</f>
        <v>2020023310</v>
      </c>
      <c r="C3726" s="5">
        <v>69.5</v>
      </c>
      <c r="D3726" s="6">
        <v>62</v>
      </c>
      <c r="E3726" s="7">
        <f t="shared" si="58"/>
        <v>131.5</v>
      </c>
      <c r="F3726" s="8"/>
    </row>
    <row r="3727" spans="1:6" ht="18" customHeight="1">
      <c r="A3727" s="4" t="s">
        <v>131</v>
      </c>
      <c r="B3727" s="4" t="str">
        <f>"2020013207"</f>
        <v>2020013207</v>
      </c>
      <c r="C3727" s="5">
        <v>71</v>
      </c>
      <c r="D3727" s="6">
        <v>60</v>
      </c>
      <c r="E3727" s="7">
        <f t="shared" si="58"/>
        <v>131</v>
      </c>
      <c r="F3727" s="8"/>
    </row>
    <row r="3728" spans="1:6" ht="18" customHeight="1">
      <c r="A3728" s="4" t="s">
        <v>131</v>
      </c>
      <c r="B3728" s="4" t="str">
        <f>"2020045611"</f>
        <v>2020045611</v>
      </c>
      <c r="C3728" s="5">
        <v>61.4</v>
      </c>
      <c r="D3728" s="6">
        <v>68</v>
      </c>
      <c r="E3728" s="7">
        <f t="shared" si="58"/>
        <v>129.4</v>
      </c>
      <c r="F3728" s="8"/>
    </row>
    <row r="3729" spans="1:6" ht="18" customHeight="1">
      <c r="A3729" s="4" t="s">
        <v>131</v>
      </c>
      <c r="B3729" s="4" t="str">
        <f>"2020022925"</f>
        <v>2020022925</v>
      </c>
      <c r="C3729" s="5">
        <v>70.599999999999994</v>
      </c>
      <c r="D3729" s="6">
        <v>58.5</v>
      </c>
      <c r="E3729" s="7">
        <f t="shared" si="58"/>
        <v>129.1</v>
      </c>
      <c r="F3729" s="8"/>
    </row>
    <row r="3730" spans="1:6" ht="18" customHeight="1">
      <c r="A3730" s="4" t="s">
        <v>131</v>
      </c>
      <c r="B3730" s="4" t="str">
        <f>"2020043304"</f>
        <v>2020043304</v>
      </c>
      <c r="C3730" s="5">
        <v>65.7</v>
      </c>
      <c r="D3730" s="6">
        <v>61</v>
      </c>
      <c r="E3730" s="7">
        <f t="shared" si="58"/>
        <v>126.7</v>
      </c>
      <c r="F3730" s="8"/>
    </row>
    <row r="3731" spans="1:6" ht="18" customHeight="1">
      <c r="A3731" s="4" t="s">
        <v>131</v>
      </c>
      <c r="B3731" s="4" t="str">
        <f>"2020012529"</f>
        <v>2020012529</v>
      </c>
      <c r="C3731" s="5">
        <v>61.5</v>
      </c>
      <c r="D3731" s="6">
        <v>65</v>
      </c>
      <c r="E3731" s="7">
        <f t="shared" si="58"/>
        <v>126.5</v>
      </c>
      <c r="F3731" s="8"/>
    </row>
    <row r="3732" spans="1:6" ht="18" customHeight="1">
      <c r="A3732" s="4" t="s">
        <v>131</v>
      </c>
      <c r="B3732" s="4" t="str">
        <f>"2020045921"</f>
        <v>2020045921</v>
      </c>
      <c r="C3732" s="5">
        <v>61.3</v>
      </c>
      <c r="D3732" s="6">
        <v>64.5</v>
      </c>
      <c r="E3732" s="7">
        <f t="shared" si="58"/>
        <v>125.8</v>
      </c>
      <c r="F3732" s="8"/>
    </row>
    <row r="3733" spans="1:6" ht="18" customHeight="1">
      <c r="A3733" s="4" t="s">
        <v>131</v>
      </c>
      <c r="B3733" s="4" t="str">
        <f>"2020012227"</f>
        <v>2020012227</v>
      </c>
      <c r="C3733" s="5">
        <v>67.099999999999994</v>
      </c>
      <c r="D3733" s="6">
        <v>53</v>
      </c>
      <c r="E3733" s="7">
        <f t="shared" si="58"/>
        <v>120.1</v>
      </c>
      <c r="F3733" s="8"/>
    </row>
    <row r="3734" spans="1:6" ht="18" customHeight="1">
      <c r="A3734" s="4" t="s">
        <v>131</v>
      </c>
      <c r="B3734" s="4" t="str">
        <f>"2020030608"</f>
        <v>2020030608</v>
      </c>
      <c r="C3734" s="5">
        <v>56.1</v>
      </c>
      <c r="D3734" s="6">
        <v>59.5</v>
      </c>
      <c r="E3734" s="7">
        <f t="shared" si="58"/>
        <v>115.6</v>
      </c>
      <c r="F3734" s="8"/>
    </row>
    <row r="3735" spans="1:6" ht="18" customHeight="1">
      <c r="A3735" s="4" t="s">
        <v>131</v>
      </c>
      <c r="B3735" s="4" t="str">
        <f>"2020033105"</f>
        <v>2020033105</v>
      </c>
      <c r="C3735" s="5">
        <v>56.6</v>
      </c>
      <c r="D3735" s="6">
        <v>49.5</v>
      </c>
      <c r="E3735" s="7">
        <f t="shared" si="58"/>
        <v>106.1</v>
      </c>
      <c r="F3735" s="8"/>
    </row>
    <row r="3736" spans="1:6" ht="18" customHeight="1">
      <c r="A3736" s="4" t="s">
        <v>131</v>
      </c>
      <c r="B3736" s="4" t="str">
        <f>"2020013618"</f>
        <v>2020013618</v>
      </c>
      <c r="C3736" s="5">
        <v>0</v>
      </c>
      <c r="D3736" s="6">
        <v>0</v>
      </c>
      <c r="E3736" s="7">
        <f t="shared" si="58"/>
        <v>0</v>
      </c>
      <c r="F3736" s="9" t="s">
        <v>8</v>
      </c>
    </row>
    <row r="3737" spans="1:6" ht="18" customHeight="1">
      <c r="A3737" s="4" t="s">
        <v>131</v>
      </c>
      <c r="B3737" s="4" t="str">
        <f>"2020021107"</f>
        <v>2020021107</v>
      </c>
      <c r="C3737" s="5">
        <v>0</v>
      </c>
      <c r="D3737" s="6">
        <v>0</v>
      </c>
      <c r="E3737" s="7">
        <f t="shared" si="58"/>
        <v>0</v>
      </c>
      <c r="F3737" s="8" t="s">
        <v>8</v>
      </c>
    </row>
    <row r="3738" spans="1:6" ht="18" customHeight="1">
      <c r="A3738" s="4" t="s">
        <v>131</v>
      </c>
      <c r="B3738" s="4" t="str">
        <f>"2020022309"</f>
        <v>2020022309</v>
      </c>
      <c r="C3738" s="5">
        <v>0</v>
      </c>
      <c r="D3738" s="6">
        <v>0</v>
      </c>
      <c r="E3738" s="7">
        <f t="shared" si="58"/>
        <v>0</v>
      </c>
      <c r="F3738" s="8" t="s">
        <v>8</v>
      </c>
    </row>
    <row r="3739" spans="1:6" ht="18" customHeight="1">
      <c r="A3739" s="4" t="s">
        <v>131</v>
      </c>
      <c r="B3739" s="4" t="str">
        <f>"2020032613"</f>
        <v>2020032613</v>
      </c>
      <c r="C3739" s="5">
        <v>0</v>
      </c>
      <c r="D3739" s="6">
        <v>0</v>
      </c>
      <c r="E3739" s="7">
        <f t="shared" si="58"/>
        <v>0</v>
      </c>
      <c r="F3739" s="8" t="s">
        <v>8</v>
      </c>
    </row>
    <row r="3740" spans="1:6" ht="18" customHeight="1">
      <c r="A3740" s="4" t="s">
        <v>132</v>
      </c>
      <c r="B3740" s="4" t="str">
        <f>"2020031926"</f>
        <v>2020031926</v>
      </c>
      <c r="C3740" s="5">
        <v>81.7</v>
      </c>
      <c r="D3740" s="6">
        <v>74</v>
      </c>
      <c r="E3740" s="7">
        <f t="shared" si="58"/>
        <v>155.69999999999999</v>
      </c>
      <c r="F3740" s="8"/>
    </row>
    <row r="3741" spans="1:6" ht="18" customHeight="1">
      <c r="A3741" s="4" t="s">
        <v>132</v>
      </c>
      <c r="B3741" s="4" t="str">
        <f>"2020013625"</f>
        <v>2020013625</v>
      </c>
      <c r="C3741" s="5">
        <v>76.3</v>
      </c>
      <c r="D3741" s="6">
        <v>75.5</v>
      </c>
      <c r="E3741" s="7">
        <f t="shared" si="58"/>
        <v>151.80000000000001</v>
      </c>
      <c r="F3741" s="8"/>
    </row>
    <row r="3742" spans="1:6" ht="18" customHeight="1">
      <c r="A3742" s="4" t="s">
        <v>132</v>
      </c>
      <c r="B3742" s="4" t="str">
        <f>"2020021311"</f>
        <v>2020021311</v>
      </c>
      <c r="C3742" s="5">
        <v>77.900000000000006</v>
      </c>
      <c r="D3742" s="6">
        <v>70</v>
      </c>
      <c r="E3742" s="7">
        <f t="shared" si="58"/>
        <v>147.9</v>
      </c>
      <c r="F3742" s="8"/>
    </row>
    <row r="3743" spans="1:6" ht="18" customHeight="1">
      <c r="A3743" s="4" t="s">
        <v>132</v>
      </c>
      <c r="B3743" s="4" t="str">
        <f>"2020030915"</f>
        <v>2020030915</v>
      </c>
      <c r="C3743" s="5">
        <v>75.099999999999994</v>
      </c>
      <c r="D3743" s="6">
        <v>68.5</v>
      </c>
      <c r="E3743" s="7">
        <f t="shared" si="58"/>
        <v>143.6</v>
      </c>
      <c r="F3743" s="8"/>
    </row>
    <row r="3744" spans="1:6" ht="18" customHeight="1">
      <c r="A3744" s="4" t="s">
        <v>132</v>
      </c>
      <c r="B3744" s="4" t="str">
        <f>"2020046829"</f>
        <v>2020046829</v>
      </c>
      <c r="C3744" s="5">
        <v>74.599999999999994</v>
      </c>
      <c r="D3744" s="6">
        <v>69</v>
      </c>
      <c r="E3744" s="7">
        <f t="shared" si="58"/>
        <v>143.6</v>
      </c>
      <c r="F3744" s="8"/>
    </row>
    <row r="3745" spans="1:6" ht="18" customHeight="1">
      <c r="A3745" s="4" t="s">
        <v>132</v>
      </c>
      <c r="B3745" s="4" t="str">
        <f>"2020044826"</f>
        <v>2020044826</v>
      </c>
      <c r="C3745" s="5">
        <v>71.5</v>
      </c>
      <c r="D3745" s="6">
        <v>70.5</v>
      </c>
      <c r="E3745" s="7">
        <f t="shared" si="58"/>
        <v>142</v>
      </c>
      <c r="F3745" s="8"/>
    </row>
    <row r="3746" spans="1:6" ht="18" customHeight="1">
      <c r="A3746" s="4" t="s">
        <v>132</v>
      </c>
      <c r="B3746" s="4" t="str">
        <f>"2020032125"</f>
        <v>2020032125</v>
      </c>
      <c r="C3746" s="5">
        <v>71.7</v>
      </c>
      <c r="D3746" s="6">
        <v>67</v>
      </c>
      <c r="E3746" s="7">
        <f t="shared" si="58"/>
        <v>138.69999999999999</v>
      </c>
      <c r="F3746" s="8"/>
    </row>
    <row r="3747" spans="1:6" ht="18" customHeight="1">
      <c r="A3747" s="4" t="s">
        <v>132</v>
      </c>
      <c r="B3747" s="4" t="str">
        <f>"2020024612"</f>
        <v>2020024612</v>
      </c>
      <c r="C3747" s="5">
        <v>69.400000000000006</v>
      </c>
      <c r="D3747" s="6">
        <v>69</v>
      </c>
      <c r="E3747" s="7">
        <f t="shared" si="58"/>
        <v>138.4</v>
      </c>
      <c r="F3747" s="8"/>
    </row>
    <row r="3748" spans="1:6" ht="18" customHeight="1">
      <c r="A3748" s="4" t="s">
        <v>132</v>
      </c>
      <c r="B3748" s="4" t="str">
        <f>"2020022916"</f>
        <v>2020022916</v>
      </c>
      <c r="C3748" s="5">
        <v>68.400000000000006</v>
      </c>
      <c r="D3748" s="6">
        <v>70</v>
      </c>
      <c r="E3748" s="7">
        <f t="shared" si="58"/>
        <v>138.4</v>
      </c>
      <c r="F3748" s="8"/>
    </row>
    <row r="3749" spans="1:6" ht="18" customHeight="1">
      <c r="A3749" s="4" t="s">
        <v>132</v>
      </c>
      <c r="B3749" s="4" t="str">
        <f>"2020021423"</f>
        <v>2020021423</v>
      </c>
      <c r="C3749" s="5">
        <v>66.8</v>
      </c>
      <c r="D3749" s="6">
        <v>70</v>
      </c>
      <c r="E3749" s="7">
        <f t="shared" si="58"/>
        <v>136.80000000000001</v>
      </c>
      <c r="F3749" s="8"/>
    </row>
    <row r="3750" spans="1:6" ht="18" customHeight="1">
      <c r="A3750" s="4" t="s">
        <v>132</v>
      </c>
      <c r="B3750" s="4" t="str">
        <f>"2020045824"</f>
        <v>2020045824</v>
      </c>
      <c r="C3750" s="5">
        <v>68.599999999999994</v>
      </c>
      <c r="D3750" s="6">
        <v>67.5</v>
      </c>
      <c r="E3750" s="7">
        <f t="shared" si="58"/>
        <v>136.1</v>
      </c>
      <c r="F3750" s="8"/>
    </row>
    <row r="3751" spans="1:6" ht="18" customHeight="1">
      <c r="A3751" s="4" t="s">
        <v>132</v>
      </c>
      <c r="B3751" s="4" t="str">
        <f>"2020046821"</f>
        <v>2020046821</v>
      </c>
      <c r="C3751" s="5">
        <v>65.400000000000006</v>
      </c>
      <c r="D3751" s="6">
        <v>67.5</v>
      </c>
      <c r="E3751" s="7">
        <f t="shared" si="58"/>
        <v>132.9</v>
      </c>
      <c r="F3751" s="8"/>
    </row>
    <row r="3752" spans="1:6" ht="18" customHeight="1">
      <c r="A3752" s="4" t="s">
        <v>132</v>
      </c>
      <c r="B3752" s="4" t="str">
        <f>"2020020402"</f>
        <v>2020020402</v>
      </c>
      <c r="C3752" s="5">
        <v>64.7</v>
      </c>
      <c r="D3752" s="6">
        <v>68</v>
      </c>
      <c r="E3752" s="7">
        <f t="shared" si="58"/>
        <v>132.69999999999999</v>
      </c>
      <c r="F3752" s="8"/>
    </row>
    <row r="3753" spans="1:6" ht="18" customHeight="1">
      <c r="A3753" s="4" t="s">
        <v>132</v>
      </c>
      <c r="B3753" s="4" t="str">
        <f>"2020011920"</f>
        <v>2020011920</v>
      </c>
      <c r="C3753" s="5">
        <v>64</v>
      </c>
      <c r="D3753" s="6">
        <v>63.5</v>
      </c>
      <c r="E3753" s="7">
        <f t="shared" si="58"/>
        <v>127.5</v>
      </c>
      <c r="F3753" s="8"/>
    </row>
    <row r="3754" spans="1:6" ht="18" customHeight="1">
      <c r="A3754" s="4" t="s">
        <v>132</v>
      </c>
      <c r="B3754" s="4" t="str">
        <f>"2020033421"</f>
        <v>2020033421</v>
      </c>
      <c r="C3754" s="5">
        <v>60.3</v>
      </c>
      <c r="D3754" s="6">
        <v>64.5</v>
      </c>
      <c r="E3754" s="7">
        <f t="shared" si="58"/>
        <v>124.8</v>
      </c>
      <c r="F3754" s="8"/>
    </row>
    <row r="3755" spans="1:6" ht="18" customHeight="1">
      <c r="A3755" s="4" t="s">
        <v>132</v>
      </c>
      <c r="B3755" s="4" t="str">
        <f>"2020023425"</f>
        <v>2020023425</v>
      </c>
      <c r="C3755" s="5">
        <v>66.7</v>
      </c>
      <c r="D3755" s="6">
        <v>53</v>
      </c>
      <c r="E3755" s="7">
        <f t="shared" si="58"/>
        <v>119.7</v>
      </c>
      <c r="F3755" s="8"/>
    </row>
    <row r="3756" spans="1:6" ht="18" customHeight="1">
      <c r="A3756" s="4" t="s">
        <v>132</v>
      </c>
      <c r="B3756" s="4" t="str">
        <f>"2020043822"</f>
        <v>2020043822</v>
      </c>
      <c r="C3756" s="5">
        <v>64</v>
      </c>
      <c r="D3756" s="6">
        <v>55</v>
      </c>
      <c r="E3756" s="7">
        <f t="shared" si="58"/>
        <v>119</v>
      </c>
      <c r="F3756" s="8"/>
    </row>
    <row r="3757" spans="1:6" ht="18" customHeight="1">
      <c r="A3757" s="4" t="s">
        <v>132</v>
      </c>
      <c r="B3757" s="4" t="str">
        <f>"2020022628"</f>
        <v>2020022628</v>
      </c>
      <c r="C3757" s="5">
        <v>56.9</v>
      </c>
      <c r="D3757" s="6">
        <v>51.5</v>
      </c>
      <c r="E3757" s="7">
        <f t="shared" si="58"/>
        <v>108.4</v>
      </c>
      <c r="F3757" s="8"/>
    </row>
    <row r="3758" spans="1:6" ht="18" customHeight="1">
      <c r="A3758" s="4" t="s">
        <v>132</v>
      </c>
      <c r="B3758" s="4" t="str">
        <f>"2020010306"</f>
        <v>2020010306</v>
      </c>
      <c r="C3758" s="5">
        <v>0</v>
      </c>
      <c r="D3758" s="6">
        <v>0</v>
      </c>
      <c r="E3758" s="7">
        <f t="shared" si="58"/>
        <v>0</v>
      </c>
      <c r="F3758" s="9" t="s">
        <v>8</v>
      </c>
    </row>
    <row r="3759" spans="1:6" ht="18" customHeight="1">
      <c r="A3759" s="4" t="s">
        <v>132</v>
      </c>
      <c r="B3759" s="4" t="str">
        <f>"2020011721"</f>
        <v>2020011721</v>
      </c>
      <c r="C3759" s="5">
        <v>0</v>
      </c>
      <c r="D3759" s="6">
        <v>0</v>
      </c>
      <c r="E3759" s="7">
        <f t="shared" si="58"/>
        <v>0</v>
      </c>
      <c r="F3759" s="9" t="s">
        <v>8</v>
      </c>
    </row>
    <row r="3760" spans="1:6" ht="18" customHeight="1">
      <c r="A3760" s="4" t="s">
        <v>132</v>
      </c>
      <c r="B3760" s="4" t="str">
        <f>"2020024229"</f>
        <v>2020024229</v>
      </c>
      <c r="C3760" s="5">
        <v>0</v>
      </c>
      <c r="D3760" s="6">
        <v>0</v>
      </c>
      <c r="E3760" s="7">
        <f t="shared" si="58"/>
        <v>0</v>
      </c>
      <c r="F3760" s="8" t="s">
        <v>8</v>
      </c>
    </row>
    <row r="3761" spans="1:6" ht="18" customHeight="1">
      <c r="A3761" s="4" t="s">
        <v>132</v>
      </c>
      <c r="B3761" s="4" t="str">
        <f>"2020032304"</f>
        <v>2020032304</v>
      </c>
      <c r="C3761" s="5">
        <v>0</v>
      </c>
      <c r="D3761" s="6">
        <v>0</v>
      </c>
      <c r="E3761" s="7">
        <f t="shared" si="58"/>
        <v>0</v>
      </c>
      <c r="F3761" s="8" t="s">
        <v>8</v>
      </c>
    </row>
    <row r="3762" spans="1:6" ht="18" customHeight="1">
      <c r="A3762" s="4" t="s">
        <v>132</v>
      </c>
      <c r="B3762" s="4" t="str">
        <f>"2020033810"</f>
        <v>2020033810</v>
      </c>
      <c r="C3762" s="5">
        <v>0</v>
      </c>
      <c r="D3762" s="6">
        <v>0</v>
      </c>
      <c r="E3762" s="7">
        <f t="shared" si="58"/>
        <v>0</v>
      </c>
      <c r="F3762" s="8" t="s">
        <v>8</v>
      </c>
    </row>
    <row r="3763" spans="1:6" ht="18" customHeight="1">
      <c r="A3763" s="4" t="s">
        <v>132</v>
      </c>
      <c r="B3763" s="4" t="str">
        <f>"2020043519"</f>
        <v>2020043519</v>
      </c>
      <c r="C3763" s="5">
        <v>0</v>
      </c>
      <c r="D3763" s="6">
        <v>0</v>
      </c>
      <c r="E3763" s="7">
        <f t="shared" si="58"/>
        <v>0</v>
      </c>
      <c r="F3763" s="8" t="s">
        <v>8</v>
      </c>
    </row>
    <row r="3764" spans="1:6" ht="18" customHeight="1">
      <c r="A3764" s="4" t="s">
        <v>133</v>
      </c>
      <c r="B3764" s="4" t="str">
        <f>"2020022729"</f>
        <v>2020022729</v>
      </c>
      <c r="C3764" s="5">
        <v>72.599999999999994</v>
      </c>
      <c r="D3764" s="6">
        <v>83</v>
      </c>
      <c r="E3764" s="7">
        <f t="shared" si="58"/>
        <v>155.6</v>
      </c>
      <c r="F3764" s="8"/>
    </row>
    <row r="3765" spans="1:6" ht="18" customHeight="1">
      <c r="A3765" s="4" t="s">
        <v>133</v>
      </c>
      <c r="B3765" s="4" t="str">
        <f>"2020043718"</f>
        <v>2020043718</v>
      </c>
      <c r="C3765" s="5">
        <v>71.099999999999994</v>
      </c>
      <c r="D3765" s="6">
        <v>80.5</v>
      </c>
      <c r="E3765" s="7">
        <f t="shared" si="58"/>
        <v>151.6</v>
      </c>
      <c r="F3765" s="8"/>
    </row>
    <row r="3766" spans="1:6" ht="18" customHeight="1">
      <c r="A3766" s="4" t="s">
        <v>133</v>
      </c>
      <c r="B3766" s="4" t="str">
        <f>"2020021617"</f>
        <v>2020021617</v>
      </c>
      <c r="C3766" s="5">
        <v>72.8</v>
      </c>
      <c r="D3766" s="6">
        <v>77</v>
      </c>
      <c r="E3766" s="7">
        <f t="shared" si="58"/>
        <v>149.80000000000001</v>
      </c>
      <c r="F3766" s="8"/>
    </row>
    <row r="3767" spans="1:6" ht="18" customHeight="1">
      <c r="A3767" s="4" t="s">
        <v>133</v>
      </c>
      <c r="B3767" s="4" t="str">
        <f>"2020011323"</f>
        <v>2020011323</v>
      </c>
      <c r="C3767" s="5">
        <v>72.900000000000006</v>
      </c>
      <c r="D3767" s="6">
        <v>75</v>
      </c>
      <c r="E3767" s="7">
        <f t="shared" si="58"/>
        <v>147.9</v>
      </c>
      <c r="F3767" s="8"/>
    </row>
    <row r="3768" spans="1:6" ht="18" customHeight="1">
      <c r="A3768" s="4" t="s">
        <v>133</v>
      </c>
      <c r="B3768" s="4" t="str">
        <f>"2020042411"</f>
        <v>2020042411</v>
      </c>
      <c r="C3768" s="5">
        <v>69.8</v>
      </c>
      <c r="D3768" s="6">
        <v>78</v>
      </c>
      <c r="E3768" s="7">
        <f t="shared" si="58"/>
        <v>147.80000000000001</v>
      </c>
      <c r="F3768" s="8"/>
    </row>
    <row r="3769" spans="1:6" ht="18" customHeight="1">
      <c r="A3769" s="4" t="s">
        <v>133</v>
      </c>
      <c r="B3769" s="4" t="str">
        <f>"2020032427"</f>
        <v>2020032427</v>
      </c>
      <c r="C3769" s="5">
        <v>69.2</v>
      </c>
      <c r="D3769" s="6">
        <v>74</v>
      </c>
      <c r="E3769" s="7">
        <f t="shared" si="58"/>
        <v>143.19999999999999</v>
      </c>
      <c r="F3769" s="8"/>
    </row>
    <row r="3770" spans="1:6" ht="18" customHeight="1">
      <c r="A3770" s="4" t="s">
        <v>133</v>
      </c>
      <c r="B3770" s="4" t="str">
        <f>"2020030709"</f>
        <v>2020030709</v>
      </c>
      <c r="C3770" s="5">
        <v>70.7</v>
      </c>
      <c r="D3770" s="6">
        <v>71</v>
      </c>
      <c r="E3770" s="7">
        <f t="shared" si="58"/>
        <v>141.69999999999999</v>
      </c>
      <c r="F3770" s="8"/>
    </row>
    <row r="3771" spans="1:6" ht="18" customHeight="1">
      <c r="A3771" s="4" t="s">
        <v>133</v>
      </c>
      <c r="B3771" s="4" t="str">
        <f>"2020013514"</f>
        <v>2020013514</v>
      </c>
      <c r="C3771" s="5">
        <v>71</v>
      </c>
      <c r="D3771" s="6">
        <v>67</v>
      </c>
      <c r="E3771" s="7">
        <f t="shared" si="58"/>
        <v>138</v>
      </c>
      <c r="F3771" s="8"/>
    </row>
    <row r="3772" spans="1:6" ht="18" customHeight="1">
      <c r="A3772" s="4" t="s">
        <v>133</v>
      </c>
      <c r="B3772" s="4" t="str">
        <f>"2020041820"</f>
        <v>2020041820</v>
      </c>
      <c r="C3772" s="5">
        <v>64</v>
      </c>
      <c r="D3772" s="6">
        <v>72</v>
      </c>
      <c r="E3772" s="7">
        <f t="shared" si="58"/>
        <v>136</v>
      </c>
      <c r="F3772" s="8"/>
    </row>
    <row r="3773" spans="1:6" ht="18" customHeight="1">
      <c r="A3773" s="4" t="s">
        <v>133</v>
      </c>
      <c r="B3773" s="4" t="str">
        <f>"2020032629"</f>
        <v>2020032629</v>
      </c>
      <c r="C3773" s="5">
        <v>67.099999999999994</v>
      </c>
      <c r="D3773" s="6">
        <v>67.5</v>
      </c>
      <c r="E3773" s="7">
        <f t="shared" si="58"/>
        <v>134.6</v>
      </c>
      <c r="F3773" s="8"/>
    </row>
    <row r="3774" spans="1:6" ht="18" customHeight="1">
      <c r="A3774" s="4" t="s">
        <v>133</v>
      </c>
      <c r="B3774" s="4" t="str">
        <f>"2020032223"</f>
        <v>2020032223</v>
      </c>
      <c r="C3774" s="5">
        <v>68</v>
      </c>
      <c r="D3774" s="6">
        <v>63.5</v>
      </c>
      <c r="E3774" s="7">
        <f t="shared" si="58"/>
        <v>131.5</v>
      </c>
      <c r="F3774" s="8"/>
    </row>
    <row r="3775" spans="1:6" ht="18" customHeight="1">
      <c r="A3775" s="4" t="s">
        <v>133</v>
      </c>
      <c r="B3775" s="4" t="str">
        <f>"2020022305"</f>
        <v>2020022305</v>
      </c>
      <c r="C3775" s="5">
        <v>58.1</v>
      </c>
      <c r="D3775" s="6">
        <v>72</v>
      </c>
      <c r="E3775" s="7">
        <f t="shared" si="58"/>
        <v>130.1</v>
      </c>
      <c r="F3775" s="8"/>
    </row>
    <row r="3776" spans="1:6" ht="18" customHeight="1">
      <c r="A3776" s="4" t="s">
        <v>133</v>
      </c>
      <c r="B3776" s="4" t="str">
        <f>"2020021801"</f>
        <v>2020021801</v>
      </c>
      <c r="C3776" s="5">
        <v>65.7</v>
      </c>
      <c r="D3776" s="6">
        <v>64</v>
      </c>
      <c r="E3776" s="7">
        <f t="shared" si="58"/>
        <v>129.69999999999999</v>
      </c>
      <c r="F3776" s="8"/>
    </row>
    <row r="3777" spans="1:6" ht="18" customHeight="1">
      <c r="A3777" s="4" t="s">
        <v>133</v>
      </c>
      <c r="B3777" s="4" t="str">
        <f>"2020010223"</f>
        <v>2020010223</v>
      </c>
      <c r="C3777" s="5">
        <v>68.3</v>
      </c>
      <c r="D3777" s="6">
        <v>57</v>
      </c>
      <c r="E3777" s="7">
        <f t="shared" si="58"/>
        <v>125.3</v>
      </c>
      <c r="F3777" s="8"/>
    </row>
    <row r="3778" spans="1:6" ht="18" customHeight="1">
      <c r="A3778" s="4" t="s">
        <v>133</v>
      </c>
      <c r="B3778" s="4" t="str">
        <f>"2020020804"</f>
        <v>2020020804</v>
      </c>
      <c r="C3778" s="5">
        <v>58.1</v>
      </c>
      <c r="D3778" s="6">
        <v>63</v>
      </c>
      <c r="E3778" s="7">
        <f t="shared" si="58"/>
        <v>121.1</v>
      </c>
      <c r="F3778" s="8"/>
    </row>
    <row r="3779" spans="1:6" ht="18" customHeight="1">
      <c r="A3779" s="4" t="s">
        <v>133</v>
      </c>
      <c r="B3779" s="4" t="str">
        <f>"2020030307"</f>
        <v>2020030307</v>
      </c>
      <c r="C3779" s="5">
        <v>59.1</v>
      </c>
      <c r="D3779" s="6">
        <v>59.5</v>
      </c>
      <c r="E3779" s="7">
        <f t="shared" ref="E3779:E3842" si="59">SUM(C3779:D3779)</f>
        <v>118.6</v>
      </c>
      <c r="F3779" s="8"/>
    </row>
    <row r="3780" spans="1:6" ht="18" customHeight="1">
      <c r="A3780" s="4" t="s">
        <v>133</v>
      </c>
      <c r="B3780" s="4" t="str">
        <f>"2020010615"</f>
        <v>2020010615</v>
      </c>
      <c r="C3780" s="5">
        <v>0</v>
      </c>
      <c r="D3780" s="6">
        <v>0</v>
      </c>
      <c r="E3780" s="7">
        <f t="shared" si="59"/>
        <v>0</v>
      </c>
      <c r="F3780" s="9" t="s">
        <v>8</v>
      </c>
    </row>
    <row r="3781" spans="1:6" ht="18" customHeight="1">
      <c r="A3781" s="4" t="s">
        <v>133</v>
      </c>
      <c r="B3781" s="4" t="str">
        <f>"2020021404"</f>
        <v>2020021404</v>
      </c>
      <c r="C3781" s="5">
        <v>0</v>
      </c>
      <c r="D3781" s="6">
        <v>0</v>
      </c>
      <c r="E3781" s="7">
        <f t="shared" si="59"/>
        <v>0</v>
      </c>
      <c r="F3781" s="8" t="s">
        <v>8</v>
      </c>
    </row>
    <row r="3782" spans="1:6" ht="18" customHeight="1">
      <c r="A3782" s="4" t="s">
        <v>133</v>
      </c>
      <c r="B3782" s="4" t="str">
        <f>"2020041524"</f>
        <v>2020041524</v>
      </c>
      <c r="C3782" s="5">
        <v>0</v>
      </c>
      <c r="D3782" s="6">
        <v>0</v>
      </c>
      <c r="E3782" s="7">
        <f t="shared" si="59"/>
        <v>0</v>
      </c>
      <c r="F3782" s="8" t="s">
        <v>8</v>
      </c>
    </row>
    <row r="3783" spans="1:6" ht="18" customHeight="1">
      <c r="A3783" s="4" t="s">
        <v>133</v>
      </c>
      <c r="B3783" s="4" t="str">
        <f>"2020043827"</f>
        <v>2020043827</v>
      </c>
      <c r="C3783" s="5">
        <v>0</v>
      </c>
      <c r="D3783" s="6">
        <v>0</v>
      </c>
      <c r="E3783" s="7">
        <f t="shared" si="59"/>
        <v>0</v>
      </c>
      <c r="F3783" s="8" t="s">
        <v>8</v>
      </c>
    </row>
    <row r="3784" spans="1:6" ht="18" customHeight="1">
      <c r="A3784" s="4" t="s">
        <v>134</v>
      </c>
      <c r="B3784" s="4" t="str">
        <f>"2020041726"</f>
        <v>2020041726</v>
      </c>
      <c r="C3784" s="5">
        <v>70.5</v>
      </c>
      <c r="D3784" s="6">
        <v>84.5</v>
      </c>
      <c r="E3784" s="7">
        <f t="shared" si="59"/>
        <v>155</v>
      </c>
      <c r="F3784" s="8"/>
    </row>
    <row r="3785" spans="1:6" ht="18" customHeight="1">
      <c r="A3785" s="4" t="s">
        <v>134</v>
      </c>
      <c r="B3785" s="4" t="str">
        <f>"2020043324"</f>
        <v>2020043324</v>
      </c>
      <c r="C3785" s="5">
        <v>82.1</v>
      </c>
      <c r="D3785" s="6">
        <v>72.5</v>
      </c>
      <c r="E3785" s="7">
        <f t="shared" si="59"/>
        <v>154.6</v>
      </c>
      <c r="F3785" s="8"/>
    </row>
    <row r="3786" spans="1:6" ht="18" customHeight="1">
      <c r="A3786" s="4" t="s">
        <v>134</v>
      </c>
      <c r="B3786" s="4" t="str">
        <f>"2020042007"</f>
        <v>2020042007</v>
      </c>
      <c r="C3786" s="5">
        <v>73.900000000000006</v>
      </c>
      <c r="D3786" s="6">
        <v>79.5</v>
      </c>
      <c r="E3786" s="7">
        <f t="shared" si="59"/>
        <v>153.4</v>
      </c>
      <c r="F3786" s="8"/>
    </row>
    <row r="3787" spans="1:6" ht="18" customHeight="1">
      <c r="A3787" s="4" t="s">
        <v>134</v>
      </c>
      <c r="B3787" s="4" t="str">
        <f>"2020041823"</f>
        <v>2020041823</v>
      </c>
      <c r="C3787" s="5">
        <v>74.2</v>
      </c>
      <c r="D3787" s="6">
        <v>70.5</v>
      </c>
      <c r="E3787" s="7">
        <f t="shared" si="59"/>
        <v>144.69999999999999</v>
      </c>
      <c r="F3787" s="8"/>
    </row>
    <row r="3788" spans="1:6" ht="18" customHeight="1">
      <c r="A3788" s="4" t="s">
        <v>134</v>
      </c>
      <c r="B3788" s="4" t="str">
        <f>"2020043325"</f>
        <v>2020043325</v>
      </c>
      <c r="C3788" s="5">
        <v>73.900000000000006</v>
      </c>
      <c r="D3788" s="6">
        <v>69.5</v>
      </c>
      <c r="E3788" s="7">
        <f t="shared" si="59"/>
        <v>143.4</v>
      </c>
      <c r="F3788" s="8"/>
    </row>
    <row r="3789" spans="1:6" ht="18" customHeight="1">
      <c r="A3789" s="4" t="s">
        <v>134</v>
      </c>
      <c r="B3789" s="4" t="str">
        <f>"2020030609"</f>
        <v>2020030609</v>
      </c>
      <c r="C3789" s="5">
        <v>69.5</v>
      </c>
      <c r="D3789" s="6">
        <v>73.5</v>
      </c>
      <c r="E3789" s="7">
        <f t="shared" si="59"/>
        <v>143</v>
      </c>
      <c r="F3789" s="8"/>
    </row>
    <row r="3790" spans="1:6" ht="18" customHeight="1">
      <c r="A3790" s="4" t="s">
        <v>134</v>
      </c>
      <c r="B3790" s="4" t="str">
        <f>"2020033512"</f>
        <v>2020033512</v>
      </c>
      <c r="C3790" s="5">
        <v>67.8</v>
      </c>
      <c r="D3790" s="6">
        <v>75</v>
      </c>
      <c r="E3790" s="7">
        <f t="shared" si="59"/>
        <v>142.80000000000001</v>
      </c>
      <c r="F3790" s="8"/>
    </row>
    <row r="3791" spans="1:6" ht="18" customHeight="1">
      <c r="A3791" s="4" t="s">
        <v>134</v>
      </c>
      <c r="B3791" s="4" t="str">
        <f>"2020030504"</f>
        <v>2020030504</v>
      </c>
      <c r="C3791" s="5">
        <v>74.8</v>
      </c>
      <c r="D3791" s="6">
        <v>64</v>
      </c>
      <c r="E3791" s="7">
        <f t="shared" si="59"/>
        <v>138.80000000000001</v>
      </c>
      <c r="F3791" s="8"/>
    </row>
    <row r="3792" spans="1:6" ht="18" customHeight="1">
      <c r="A3792" s="4" t="s">
        <v>134</v>
      </c>
      <c r="B3792" s="4" t="str">
        <f>"2020024703"</f>
        <v>2020024703</v>
      </c>
      <c r="C3792" s="5">
        <v>67.3</v>
      </c>
      <c r="D3792" s="6">
        <v>69.5</v>
      </c>
      <c r="E3792" s="7">
        <f t="shared" si="59"/>
        <v>136.80000000000001</v>
      </c>
      <c r="F3792" s="8"/>
    </row>
    <row r="3793" spans="1:6" ht="18" customHeight="1">
      <c r="A3793" s="4" t="s">
        <v>134</v>
      </c>
      <c r="B3793" s="4" t="str">
        <f>"2020011820"</f>
        <v>2020011820</v>
      </c>
      <c r="C3793" s="5">
        <v>69.099999999999994</v>
      </c>
      <c r="D3793" s="6">
        <v>66</v>
      </c>
      <c r="E3793" s="7">
        <f t="shared" si="59"/>
        <v>135.1</v>
      </c>
      <c r="F3793" s="8"/>
    </row>
    <row r="3794" spans="1:6" ht="18" customHeight="1">
      <c r="A3794" s="4" t="s">
        <v>134</v>
      </c>
      <c r="B3794" s="4" t="str">
        <f>"2020012323"</f>
        <v>2020012323</v>
      </c>
      <c r="C3794" s="5">
        <v>69</v>
      </c>
      <c r="D3794" s="6">
        <v>63.5</v>
      </c>
      <c r="E3794" s="7">
        <f t="shared" si="59"/>
        <v>132.5</v>
      </c>
      <c r="F3794" s="8"/>
    </row>
    <row r="3795" spans="1:6" ht="18" customHeight="1">
      <c r="A3795" s="4" t="s">
        <v>134</v>
      </c>
      <c r="B3795" s="4" t="str">
        <f>"2020020327"</f>
        <v>2020020327</v>
      </c>
      <c r="C3795" s="5">
        <v>71.5</v>
      </c>
      <c r="D3795" s="6">
        <v>59</v>
      </c>
      <c r="E3795" s="7">
        <f t="shared" si="59"/>
        <v>130.5</v>
      </c>
      <c r="F3795" s="8"/>
    </row>
    <row r="3796" spans="1:6" ht="18" customHeight="1">
      <c r="A3796" s="4" t="s">
        <v>134</v>
      </c>
      <c r="B3796" s="4" t="str">
        <f>"2020030710"</f>
        <v>2020030710</v>
      </c>
      <c r="C3796" s="5">
        <v>57.3</v>
      </c>
      <c r="D3796" s="6">
        <v>52.5</v>
      </c>
      <c r="E3796" s="7">
        <f t="shared" si="59"/>
        <v>109.8</v>
      </c>
      <c r="F3796" s="8"/>
    </row>
    <row r="3797" spans="1:6" ht="18" customHeight="1">
      <c r="A3797" s="4" t="s">
        <v>134</v>
      </c>
      <c r="B3797" s="4" t="str">
        <f>"2020013025"</f>
        <v>2020013025</v>
      </c>
      <c r="C3797" s="5">
        <v>0</v>
      </c>
      <c r="D3797" s="6">
        <v>0</v>
      </c>
      <c r="E3797" s="7">
        <f t="shared" si="59"/>
        <v>0</v>
      </c>
      <c r="F3797" s="9" t="s">
        <v>8</v>
      </c>
    </row>
    <row r="3798" spans="1:6" ht="18" customHeight="1">
      <c r="A3798" s="4" t="s">
        <v>134</v>
      </c>
      <c r="B3798" s="4" t="str">
        <f>"2020023405"</f>
        <v>2020023405</v>
      </c>
      <c r="C3798" s="5">
        <v>0</v>
      </c>
      <c r="D3798" s="6">
        <v>0</v>
      </c>
      <c r="E3798" s="7">
        <f t="shared" si="59"/>
        <v>0</v>
      </c>
      <c r="F3798" s="8" t="s">
        <v>8</v>
      </c>
    </row>
    <row r="3799" spans="1:6" ht="18" customHeight="1">
      <c r="A3799" s="4" t="s">
        <v>134</v>
      </c>
      <c r="B3799" s="4" t="str">
        <f>"2020024330"</f>
        <v>2020024330</v>
      </c>
      <c r="C3799" s="5">
        <v>0</v>
      </c>
      <c r="D3799" s="6">
        <v>0</v>
      </c>
      <c r="E3799" s="7">
        <f t="shared" si="59"/>
        <v>0</v>
      </c>
      <c r="F3799" s="8" t="s">
        <v>8</v>
      </c>
    </row>
    <row r="3800" spans="1:6" ht="18" customHeight="1">
      <c r="A3800" s="4" t="s">
        <v>134</v>
      </c>
      <c r="B3800" s="4" t="str">
        <f>"2020024528"</f>
        <v>2020024528</v>
      </c>
      <c r="C3800" s="5">
        <v>0</v>
      </c>
      <c r="D3800" s="6">
        <v>0</v>
      </c>
      <c r="E3800" s="7">
        <f t="shared" si="59"/>
        <v>0</v>
      </c>
      <c r="F3800" s="8" t="s">
        <v>8</v>
      </c>
    </row>
    <row r="3801" spans="1:6" ht="18" customHeight="1">
      <c r="A3801" s="4" t="s">
        <v>134</v>
      </c>
      <c r="B3801" s="4" t="str">
        <f>"2020041805"</f>
        <v>2020041805</v>
      </c>
      <c r="C3801" s="5">
        <v>0</v>
      </c>
      <c r="D3801" s="6">
        <v>0</v>
      </c>
      <c r="E3801" s="7">
        <f t="shared" si="59"/>
        <v>0</v>
      </c>
      <c r="F3801" s="8" t="s">
        <v>8</v>
      </c>
    </row>
    <row r="3802" spans="1:6" ht="18" customHeight="1">
      <c r="A3802" s="4" t="s">
        <v>134</v>
      </c>
      <c r="B3802" s="4" t="str">
        <f>"2020043524"</f>
        <v>2020043524</v>
      </c>
      <c r="C3802" s="5">
        <v>0</v>
      </c>
      <c r="D3802" s="6">
        <v>0</v>
      </c>
      <c r="E3802" s="7">
        <f t="shared" si="59"/>
        <v>0</v>
      </c>
      <c r="F3802" s="8" t="s">
        <v>8</v>
      </c>
    </row>
    <row r="3803" spans="1:6" ht="18" customHeight="1">
      <c r="A3803" s="4" t="s">
        <v>134</v>
      </c>
      <c r="B3803" s="4" t="str">
        <f>"2020044923"</f>
        <v>2020044923</v>
      </c>
      <c r="C3803" s="5">
        <v>0</v>
      </c>
      <c r="D3803" s="6">
        <v>0</v>
      </c>
      <c r="E3803" s="7">
        <f t="shared" si="59"/>
        <v>0</v>
      </c>
      <c r="F3803" s="8" t="s">
        <v>8</v>
      </c>
    </row>
    <row r="3804" spans="1:6" ht="18" customHeight="1">
      <c r="A3804" s="4" t="s">
        <v>134</v>
      </c>
      <c r="B3804" s="4" t="str">
        <f>"2020045024"</f>
        <v>2020045024</v>
      </c>
      <c r="C3804" s="5">
        <v>0</v>
      </c>
      <c r="D3804" s="6">
        <v>0</v>
      </c>
      <c r="E3804" s="7">
        <f t="shared" si="59"/>
        <v>0</v>
      </c>
      <c r="F3804" s="8" t="s">
        <v>8</v>
      </c>
    </row>
    <row r="3805" spans="1:6" ht="18" customHeight="1">
      <c r="A3805" s="4" t="s">
        <v>135</v>
      </c>
      <c r="B3805" s="4" t="str">
        <f>"2020040127"</f>
        <v>2020040127</v>
      </c>
      <c r="C3805" s="5">
        <v>76.5</v>
      </c>
      <c r="D3805" s="6">
        <v>88.5</v>
      </c>
      <c r="E3805" s="7">
        <f t="shared" si="59"/>
        <v>165</v>
      </c>
      <c r="F3805" s="8"/>
    </row>
    <row r="3806" spans="1:6" ht="18" customHeight="1">
      <c r="A3806" s="4" t="s">
        <v>135</v>
      </c>
      <c r="B3806" s="4" t="str">
        <f>"2020044815"</f>
        <v>2020044815</v>
      </c>
      <c r="C3806" s="5">
        <v>81.099999999999994</v>
      </c>
      <c r="D3806" s="6">
        <v>83.5</v>
      </c>
      <c r="E3806" s="7">
        <f t="shared" si="59"/>
        <v>164.6</v>
      </c>
      <c r="F3806" s="8"/>
    </row>
    <row r="3807" spans="1:6" ht="18" customHeight="1">
      <c r="A3807" s="4" t="s">
        <v>135</v>
      </c>
      <c r="B3807" s="4" t="str">
        <f>"2020033417"</f>
        <v>2020033417</v>
      </c>
      <c r="C3807" s="5">
        <v>79.7</v>
      </c>
      <c r="D3807" s="6">
        <v>82.5</v>
      </c>
      <c r="E3807" s="7">
        <f t="shared" si="59"/>
        <v>162.19999999999999</v>
      </c>
      <c r="F3807" s="8"/>
    </row>
    <row r="3808" spans="1:6" ht="18" customHeight="1">
      <c r="A3808" s="4" t="s">
        <v>135</v>
      </c>
      <c r="B3808" s="4" t="str">
        <f>"2020040807"</f>
        <v>2020040807</v>
      </c>
      <c r="C3808" s="5">
        <v>73.400000000000006</v>
      </c>
      <c r="D3808" s="6">
        <v>87</v>
      </c>
      <c r="E3808" s="7">
        <f t="shared" si="59"/>
        <v>160.4</v>
      </c>
      <c r="F3808" s="8"/>
    </row>
    <row r="3809" spans="1:6" ht="18" customHeight="1">
      <c r="A3809" s="4" t="s">
        <v>135</v>
      </c>
      <c r="B3809" s="4" t="str">
        <f>"2020021615"</f>
        <v>2020021615</v>
      </c>
      <c r="C3809" s="5">
        <v>75.5</v>
      </c>
      <c r="D3809" s="6">
        <v>82.5</v>
      </c>
      <c r="E3809" s="7">
        <f t="shared" si="59"/>
        <v>158</v>
      </c>
      <c r="F3809" s="8"/>
    </row>
    <row r="3810" spans="1:6" ht="18" customHeight="1">
      <c r="A3810" s="4" t="s">
        <v>135</v>
      </c>
      <c r="B3810" s="4" t="str">
        <f>"2020013919"</f>
        <v>2020013919</v>
      </c>
      <c r="C3810" s="5">
        <v>75.3</v>
      </c>
      <c r="D3810" s="6">
        <v>80.5</v>
      </c>
      <c r="E3810" s="7">
        <f t="shared" si="59"/>
        <v>155.80000000000001</v>
      </c>
      <c r="F3810" s="8"/>
    </row>
    <row r="3811" spans="1:6" ht="18" customHeight="1">
      <c r="A3811" s="4" t="s">
        <v>135</v>
      </c>
      <c r="B3811" s="4" t="str">
        <f>"2020030505"</f>
        <v>2020030505</v>
      </c>
      <c r="C3811" s="5">
        <v>71.2</v>
      </c>
      <c r="D3811" s="6">
        <v>84.5</v>
      </c>
      <c r="E3811" s="7">
        <f t="shared" si="59"/>
        <v>155.69999999999999</v>
      </c>
      <c r="F3811" s="8"/>
    </row>
    <row r="3812" spans="1:6" ht="18" customHeight="1">
      <c r="A3812" s="4" t="s">
        <v>135</v>
      </c>
      <c r="B3812" s="4" t="str">
        <f>"2020042702"</f>
        <v>2020042702</v>
      </c>
      <c r="C3812" s="5">
        <v>70.3</v>
      </c>
      <c r="D3812" s="6">
        <v>84</v>
      </c>
      <c r="E3812" s="7">
        <f t="shared" si="59"/>
        <v>154.30000000000001</v>
      </c>
      <c r="F3812" s="8"/>
    </row>
    <row r="3813" spans="1:6" ht="18" customHeight="1">
      <c r="A3813" s="4" t="s">
        <v>135</v>
      </c>
      <c r="B3813" s="4" t="str">
        <f>"2020013326"</f>
        <v>2020013326</v>
      </c>
      <c r="C3813" s="5">
        <v>78.099999999999994</v>
      </c>
      <c r="D3813" s="6">
        <v>75</v>
      </c>
      <c r="E3813" s="7">
        <f t="shared" si="59"/>
        <v>153.1</v>
      </c>
      <c r="F3813" s="8"/>
    </row>
    <row r="3814" spans="1:6" ht="18" customHeight="1">
      <c r="A3814" s="4" t="s">
        <v>135</v>
      </c>
      <c r="B3814" s="4" t="str">
        <f>"2020024403"</f>
        <v>2020024403</v>
      </c>
      <c r="C3814" s="5">
        <v>69.5</v>
      </c>
      <c r="D3814" s="6">
        <v>83.5</v>
      </c>
      <c r="E3814" s="7">
        <f t="shared" si="59"/>
        <v>153</v>
      </c>
      <c r="F3814" s="8"/>
    </row>
    <row r="3815" spans="1:6" ht="18" customHeight="1">
      <c r="A3815" s="4" t="s">
        <v>135</v>
      </c>
      <c r="B3815" s="4" t="str">
        <f>"2020020326"</f>
        <v>2020020326</v>
      </c>
      <c r="C3815" s="5">
        <v>76.3</v>
      </c>
      <c r="D3815" s="6">
        <v>75</v>
      </c>
      <c r="E3815" s="7">
        <f t="shared" si="59"/>
        <v>151.30000000000001</v>
      </c>
      <c r="F3815" s="8"/>
    </row>
    <row r="3816" spans="1:6" ht="18" customHeight="1">
      <c r="A3816" s="4" t="s">
        <v>135</v>
      </c>
      <c r="B3816" s="4" t="str">
        <f>"2020047228"</f>
        <v>2020047228</v>
      </c>
      <c r="C3816" s="5">
        <v>80.099999999999994</v>
      </c>
      <c r="D3816" s="6">
        <v>70.5</v>
      </c>
      <c r="E3816" s="7">
        <f t="shared" si="59"/>
        <v>150.6</v>
      </c>
      <c r="F3816" s="8"/>
    </row>
    <row r="3817" spans="1:6" ht="18" customHeight="1">
      <c r="A3817" s="4" t="s">
        <v>135</v>
      </c>
      <c r="B3817" s="4" t="str">
        <f>"2020010601"</f>
        <v>2020010601</v>
      </c>
      <c r="C3817" s="5">
        <v>75.099999999999994</v>
      </c>
      <c r="D3817" s="6">
        <v>75.5</v>
      </c>
      <c r="E3817" s="7">
        <f t="shared" si="59"/>
        <v>150.6</v>
      </c>
      <c r="F3817" s="8"/>
    </row>
    <row r="3818" spans="1:6" ht="18" customHeight="1">
      <c r="A3818" s="4" t="s">
        <v>135</v>
      </c>
      <c r="B3818" s="4" t="str">
        <f>"2020012414"</f>
        <v>2020012414</v>
      </c>
      <c r="C3818" s="5">
        <v>70.599999999999994</v>
      </c>
      <c r="D3818" s="6">
        <v>80</v>
      </c>
      <c r="E3818" s="7">
        <f t="shared" si="59"/>
        <v>150.6</v>
      </c>
      <c r="F3818" s="8"/>
    </row>
    <row r="3819" spans="1:6" ht="18" customHeight="1">
      <c r="A3819" s="4" t="s">
        <v>135</v>
      </c>
      <c r="B3819" s="4" t="str">
        <f>"2020046224"</f>
        <v>2020046224</v>
      </c>
      <c r="C3819" s="5">
        <v>77.900000000000006</v>
      </c>
      <c r="D3819" s="6">
        <v>72</v>
      </c>
      <c r="E3819" s="7">
        <f t="shared" si="59"/>
        <v>149.9</v>
      </c>
      <c r="F3819" s="8"/>
    </row>
    <row r="3820" spans="1:6" ht="18" customHeight="1">
      <c r="A3820" s="4" t="s">
        <v>135</v>
      </c>
      <c r="B3820" s="4" t="str">
        <f>"2020011522"</f>
        <v>2020011522</v>
      </c>
      <c r="C3820" s="5">
        <v>78.3</v>
      </c>
      <c r="D3820" s="6">
        <v>71.5</v>
      </c>
      <c r="E3820" s="7">
        <f t="shared" si="59"/>
        <v>149.80000000000001</v>
      </c>
      <c r="F3820" s="8"/>
    </row>
    <row r="3821" spans="1:6" ht="18" customHeight="1">
      <c r="A3821" s="4" t="s">
        <v>135</v>
      </c>
      <c r="B3821" s="4" t="str">
        <f>"2020020527"</f>
        <v>2020020527</v>
      </c>
      <c r="C3821" s="5">
        <v>77.7</v>
      </c>
      <c r="D3821" s="6">
        <v>72</v>
      </c>
      <c r="E3821" s="7">
        <f t="shared" si="59"/>
        <v>149.69999999999999</v>
      </c>
      <c r="F3821" s="8"/>
    </row>
    <row r="3822" spans="1:6" ht="18" customHeight="1">
      <c r="A3822" s="4" t="s">
        <v>135</v>
      </c>
      <c r="B3822" s="4" t="str">
        <f>"2020031313"</f>
        <v>2020031313</v>
      </c>
      <c r="C3822" s="5">
        <v>76.5</v>
      </c>
      <c r="D3822" s="6">
        <v>72</v>
      </c>
      <c r="E3822" s="7">
        <f t="shared" si="59"/>
        <v>148.5</v>
      </c>
      <c r="F3822" s="8"/>
    </row>
    <row r="3823" spans="1:6" ht="18" customHeight="1">
      <c r="A3823" s="4" t="s">
        <v>135</v>
      </c>
      <c r="B3823" s="4" t="str">
        <f>"2020013424"</f>
        <v>2020013424</v>
      </c>
      <c r="C3823" s="5">
        <v>74.2</v>
      </c>
      <c r="D3823" s="6">
        <v>74</v>
      </c>
      <c r="E3823" s="7">
        <f t="shared" si="59"/>
        <v>148.19999999999999</v>
      </c>
      <c r="F3823" s="8"/>
    </row>
    <row r="3824" spans="1:6" ht="18" customHeight="1">
      <c r="A3824" s="4" t="s">
        <v>135</v>
      </c>
      <c r="B3824" s="4" t="str">
        <f>"2020021212"</f>
        <v>2020021212</v>
      </c>
      <c r="C3824" s="5">
        <v>71.5</v>
      </c>
      <c r="D3824" s="6">
        <v>76.5</v>
      </c>
      <c r="E3824" s="7">
        <f t="shared" si="59"/>
        <v>148</v>
      </c>
      <c r="F3824" s="8"/>
    </row>
    <row r="3825" spans="1:6" ht="18" customHeight="1">
      <c r="A3825" s="4" t="s">
        <v>135</v>
      </c>
      <c r="B3825" s="4" t="str">
        <f>"2020040716"</f>
        <v>2020040716</v>
      </c>
      <c r="C3825" s="5">
        <v>71.5</v>
      </c>
      <c r="D3825" s="6">
        <v>76.5</v>
      </c>
      <c r="E3825" s="7">
        <f t="shared" si="59"/>
        <v>148</v>
      </c>
      <c r="F3825" s="8"/>
    </row>
    <row r="3826" spans="1:6" ht="18" customHeight="1">
      <c r="A3826" s="4" t="s">
        <v>135</v>
      </c>
      <c r="B3826" s="4" t="str">
        <f>"2020021716"</f>
        <v>2020021716</v>
      </c>
      <c r="C3826" s="5">
        <v>72.900000000000006</v>
      </c>
      <c r="D3826" s="6">
        <v>74.5</v>
      </c>
      <c r="E3826" s="7">
        <f t="shared" si="59"/>
        <v>147.4</v>
      </c>
      <c r="F3826" s="8"/>
    </row>
    <row r="3827" spans="1:6" ht="18" customHeight="1">
      <c r="A3827" s="4" t="s">
        <v>135</v>
      </c>
      <c r="B3827" s="4" t="str">
        <f>"2020022526"</f>
        <v>2020022526</v>
      </c>
      <c r="C3827" s="5">
        <v>69.900000000000006</v>
      </c>
      <c r="D3827" s="6">
        <v>77</v>
      </c>
      <c r="E3827" s="7">
        <f t="shared" si="59"/>
        <v>146.9</v>
      </c>
      <c r="F3827" s="8"/>
    </row>
    <row r="3828" spans="1:6" ht="18" customHeight="1">
      <c r="A3828" s="4" t="s">
        <v>135</v>
      </c>
      <c r="B3828" s="4" t="str">
        <f>"2020047230"</f>
        <v>2020047230</v>
      </c>
      <c r="C3828" s="5">
        <v>67.7</v>
      </c>
      <c r="D3828" s="6">
        <v>79</v>
      </c>
      <c r="E3828" s="7">
        <f t="shared" si="59"/>
        <v>146.69999999999999</v>
      </c>
      <c r="F3828" s="8"/>
    </row>
    <row r="3829" spans="1:6" ht="18" customHeight="1">
      <c r="A3829" s="4" t="s">
        <v>135</v>
      </c>
      <c r="B3829" s="4" t="str">
        <f>"2020032302"</f>
        <v>2020032302</v>
      </c>
      <c r="C3829" s="5">
        <v>67</v>
      </c>
      <c r="D3829" s="6">
        <v>78.5</v>
      </c>
      <c r="E3829" s="7">
        <f t="shared" si="59"/>
        <v>145.5</v>
      </c>
      <c r="F3829" s="8"/>
    </row>
    <row r="3830" spans="1:6" ht="18" customHeight="1">
      <c r="A3830" s="4" t="s">
        <v>135</v>
      </c>
      <c r="B3830" s="4" t="str">
        <f>"2020046312"</f>
        <v>2020046312</v>
      </c>
      <c r="C3830" s="5">
        <v>73.8</v>
      </c>
      <c r="D3830" s="6">
        <v>71.5</v>
      </c>
      <c r="E3830" s="7">
        <f t="shared" si="59"/>
        <v>145.30000000000001</v>
      </c>
      <c r="F3830" s="8"/>
    </row>
    <row r="3831" spans="1:6" ht="18" customHeight="1">
      <c r="A3831" s="4" t="s">
        <v>135</v>
      </c>
      <c r="B3831" s="4" t="str">
        <f>"2020012122"</f>
        <v>2020012122</v>
      </c>
      <c r="C3831" s="5">
        <v>77.599999999999994</v>
      </c>
      <c r="D3831" s="6">
        <v>67.5</v>
      </c>
      <c r="E3831" s="7">
        <f t="shared" si="59"/>
        <v>145.1</v>
      </c>
      <c r="F3831" s="8"/>
    </row>
    <row r="3832" spans="1:6" ht="18" customHeight="1">
      <c r="A3832" s="4" t="s">
        <v>135</v>
      </c>
      <c r="B3832" s="4" t="str">
        <f>"2020013308"</f>
        <v>2020013308</v>
      </c>
      <c r="C3832" s="5">
        <v>68.400000000000006</v>
      </c>
      <c r="D3832" s="6">
        <v>76.5</v>
      </c>
      <c r="E3832" s="7">
        <f t="shared" si="59"/>
        <v>144.9</v>
      </c>
      <c r="F3832" s="8"/>
    </row>
    <row r="3833" spans="1:6" ht="18" customHeight="1">
      <c r="A3833" s="4" t="s">
        <v>135</v>
      </c>
      <c r="B3833" s="4" t="str">
        <f>"2020013929"</f>
        <v>2020013929</v>
      </c>
      <c r="C3833" s="5">
        <v>68.099999999999994</v>
      </c>
      <c r="D3833" s="6">
        <v>76.5</v>
      </c>
      <c r="E3833" s="7">
        <f t="shared" si="59"/>
        <v>144.6</v>
      </c>
      <c r="F3833" s="8"/>
    </row>
    <row r="3834" spans="1:6" ht="18" customHeight="1">
      <c r="A3834" s="4" t="s">
        <v>135</v>
      </c>
      <c r="B3834" s="4" t="str">
        <f>"2020023504"</f>
        <v>2020023504</v>
      </c>
      <c r="C3834" s="5">
        <v>73.2</v>
      </c>
      <c r="D3834" s="6">
        <v>71</v>
      </c>
      <c r="E3834" s="7">
        <f t="shared" si="59"/>
        <v>144.19999999999999</v>
      </c>
      <c r="F3834" s="8"/>
    </row>
    <row r="3835" spans="1:6" ht="18" customHeight="1">
      <c r="A3835" s="4" t="s">
        <v>135</v>
      </c>
      <c r="B3835" s="4" t="str">
        <f>"2020013012"</f>
        <v>2020013012</v>
      </c>
      <c r="C3835" s="5">
        <v>72.8</v>
      </c>
      <c r="D3835" s="6">
        <v>71</v>
      </c>
      <c r="E3835" s="7">
        <f t="shared" si="59"/>
        <v>143.80000000000001</v>
      </c>
      <c r="F3835" s="8"/>
    </row>
    <row r="3836" spans="1:6" ht="18" customHeight="1">
      <c r="A3836" s="4" t="s">
        <v>135</v>
      </c>
      <c r="B3836" s="4" t="str">
        <f>"2020022024"</f>
        <v>2020022024</v>
      </c>
      <c r="C3836" s="5">
        <v>79.2</v>
      </c>
      <c r="D3836" s="6">
        <v>64.5</v>
      </c>
      <c r="E3836" s="7">
        <f t="shared" si="59"/>
        <v>143.69999999999999</v>
      </c>
      <c r="F3836" s="8"/>
    </row>
    <row r="3837" spans="1:6" ht="18" customHeight="1">
      <c r="A3837" s="4" t="s">
        <v>135</v>
      </c>
      <c r="B3837" s="4" t="str">
        <f>"2020032312"</f>
        <v>2020032312</v>
      </c>
      <c r="C3837" s="5">
        <v>78.5</v>
      </c>
      <c r="D3837" s="6">
        <v>65</v>
      </c>
      <c r="E3837" s="7">
        <f t="shared" si="59"/>
        <v>143.5</v>
      </c>
      <c r="F3837" s="8"/>
    </row>
    <row r="3838" spans="1:6" ht="18" customHeight="1">
      <c r="A3838" s="4" t="s">
        <v>135</v>
      </c>
      <c r="B3838" s="4" t="str">
        <f>"2020045127"</f>
        <v>2020045127</v>
      </c>
      <c r="C3838" s="5">
        <v>67.7</v>
      </c>
      <c r="D3838" s="6">
        <v>75.5</v>
      </c>
      <c r="E3838" s="7">
        <f t="shared" si="59"/>
        <v>143.19999999999999</v>
      </c>
      <c r="F3838" s="8"/>
    </row>
    <row r="3839" spans="1:6" ht="18" customHeight="1">
      <c r="A3839" s="4" t="s">
        <v>135</v>
      </c>
      <c r="B3839" s="4" t="str">
        <f>"2020020801"</f>
        <v>2020020801</v>
      </c>
      <c r="C3839" s="5">
        <v>70.599999999999994</v>
      </c>
      <c r="D3839" s="6">
        <v>72.5</v>
      </c>
      <c r="E3839" s="7">
        <f t="shared" si="59"/>
        <v>143.1</v>
      </c>
      <c r="F3839" s="8"/>
    </row>
    <row r="3840" spans="1:6" ht="18" customHeight="1">
      <c r="A3840" s="4" t="s">
        <v>135</v>
      </c>
      <c r="B3840" s="4" t="str">
        <f>"2020011916"</f>
        <v>2020011916</v>
      </c>
      <c r="C3840" s="5">
        <v>72</v>
      </c>
      <c r="D3840" s="6">
        <v>71</v>
      </c>
      <c r="E3840" s="7">
        <f t="shared" si="59"/>
        <v>143</v>
      </c>
      <c r="F3840" s="8"/>
    </row>
    <row r="3841" spans="1:6" ht="18" customHeight="1">
      <c r="A3841" s="4" t="s">
        <v>135</v>
      </c>
      <c r="B3841" s="4" t="str">
        <f>"2020021219"</f>
        <v>2020021219</v>
      </c>
      <c r="C3841" s="5">
        <v>61.4</v>
      </c>
      <c r="D3841" s="6">
        <v>81.5</v>
      </c>
      <c r="E3841" s="7">
        <f t="shared" si="59"/>
        <v>142.9</v>
      </c>
      <c r="F3841" s="8"/>
    </row>
    <row r="3842" spans="1:6" ht="18" customHeight="1">
      <c r="A3842" s="4" t="s">
        <v>135</v>
      </c>
      <c r="B3842" s="4" t="str">
        <f>"2020045728"</f>
        <v>2020045728</v>
      </c>
      <c r="C3842" s="5">
        <v>71.2</v>
      </c>
      <c r="D3842" s="6">
        <v>71.5</v>
      </c>
      <c r="E3842" s="7">
        <f t="shared" si="59"/>
        <v>142.69999999999999</v>
      </c>
      <c r="F3842" s="8"/>
    </row>
    <row r="3843" spans="1:6" ht="18" customHeight="1">
      <c r="A3843" s="4" t="s">
        <v>135</v>
      </c>
      <c r="B3843" s="4" t="str">
        <f>"2020045402"</f>
        <v>2020045402</v>
      </c>
      <c r="C3843" s="5">
        <v>67.900000000000006</v>
      </c>
      <c r="D3843" s="6">
        <v>74.5</v>
      </c>
      <c r="E3843" s="7">
        <f t="shared" ref="E3843:E3906" si="60">SUM(C3843:D3843)</f>
        <v>142.4</v>
      </c>
      <c r="F3843" s="8"/>
    </row>
    <row r="3844" spans="1:6" ht="18" customHeight="1">
      <c r="A3844" s="4" t="s">
        <v>135</v>
      </c>
      <c r="B3844" s="4" t="str">
        <f>"2020020226"</f>
        <v>2020020226</v>
      </c>
      <c r="C3844" s="5">
        <v>80.3</v>
      </c>
      <c r="D3844" s="6">
        <v>62</v>
      </c>
      <c r="E3844" s="7">
        <f t="shared" si="60"/>
        <v>142.30000000000001</v>
      </c>
      <c r="F3844" s="8"/>
    </row>
    <row r="3845" spans="1:6" ht="18" customHeight="1">
      <c r="A3845" s="4" t="s">
        <v>135</v>
      </c>
      <c r="B3845" s="4" t="str">
        <f>"2020042805"</f>
        <v>2020042805</v>
      </c>
      <c r="C3845" s="5">
        <v>60.8</v>
      </c>
      <c r="D3845" s="6">
        <v>81.5</v>
      </c>
      <c r="E3845" s="7">
        <f t="shared" si="60"/>
        <v>142.30000000000001</v>
      </c>
      <c r="F3845" s="8"/>
    </row>
    <row r="3846" spans="1:6" ht="18" customHeight="1">
      <c r="A3846" s="4" t="s">
        <v>135</v>
      </c>
      <c r="B3846" s="4" t="str">
        <f>"2020024701"</f>
        <v>2020024701</v>
      </c>
      <c r="C3846" s="5">
        <v>71.2</v>
      </c>
      <c r="D3846" s="6">
        <v>71</v>
      </c>
      <c r="E3846" s="7">
        <f t="shared" si="60"/>
        <v>142.19999999999999</v>
      </c>
      <c r="F3846" s="8"/>
    </row>
    <row r="3847" spans="1:6" ht="18" customHeight="1">
      <c r="A3847" s="4" t="s">
        <v>135</v>
      </c>
      <c r="B3847" s="4" t="str">
        <f>"2020045203"</f>
        <v>2020045203</v>
      </c>
      <c r="C3847" s="5">
        <v>71.7</v>
      </c>
      <c r="D3847" s="6">
        <v>70</v>
      </c>
      <c r="E3847" s="7">
        <f t="shared" si="60"/>
        <v>141.69999999999999</v>
      </c>
      <c r="F3847" s="8"/>
    </row>
    <row r="3848" spans="1:6" ht="18" customHeight="1">
      <c r="A3848" s="4" t="s">
        <v>135</v>
      </c>
      <c r="B3848" s="4" t="str">
        <f>"2020042424"</f>
        <v>2020042424</v>
      </c>
      <c r="C3848" s="5">
        <v>70.7</v>
      </c>
      <c r="D3848" s="6">
        <v>71</v>
      </c>
      <c r="E3848" s="7">
        <f t="shared" si="60"/>
        <v>141.69999999999999</v>
      </c>
      <c r="F3848" s="8"/>
    </row>
    <row r="3849" spans="1:6" ht="18" customHeight="1">
      <c r="A3849" s="4" t="s">
        <v>135</v>
      </c>
      <c r="B3849" s="4" t="str">
        <f>"2020041630"</f>
        <v>2020041630</v>
      </c>
      <c r="C3849" s="5">
        <v>70.599999999999994</v>
      </c>
      <c r="D3849" s="6">
        <v>71</v>
      </c>
      <c r="E3849" s="7">
        <f t="shared" si="60"/>
        <v>141.6</v>
      </c>
      <c r="F3849" s="8"/>
    </row>
    <row r="3850" spans="1:6" ht="18" customHeight="1">
      <c r="A3850" s="4" t="s">
        <v>135</v>
      </c>
      <c r="B3850" s="4" t="str">
        <f>"2020047022"</f>
        <v>2020047022</v>
      </c>
      <c r="C3850" s="5">
        <v>70.099999999999994</v>
      </c>
      <c r="D3850" s="6">
        <v>71.5</v>
      </c>
      <c r="E3850" s="7">
        <f t="shared" si="60"/>
        <v>141.6</v>
      </c>
      <c r="F3850" s="8"/>
    </row>
    <row r="3851" spans="1:6" ht="18" customHeight="1">
      <c r="A3851" s="4" t="s">
        <v>135</v>
      </c>
      <c r="B3851" s="4" t="str">
        <f>"2020047011"</f>
        <v>2020047011</v>
      </c>
      <c r="C3851" s="5">
        <v>75.8</v>
      </c>
      <c r="D3851" s="6">
        <v>65.5</v>
      </c>
      <c r="E3851" s="7">
        <f t="shared" si="60"/>
        <v>141.30000000000001</v>
      </c>
      <c r="F3851" s="8"/>
    </row>
    <row r="3852" spans="1:6" ht="18" customHeight="1">
      <c r="A3852" s="4" t="s">
        <v>135</v>
      </c>
      <c r="B3852" s="4" t="str">
        <f>"2020041407"</f>
        <v>2020041407</v>
      </c>
      <c r="C3852" s="5">
        <v>64.5</v>
      </c>
      <c r="D3852" s="6">
        <v>76.5</v>
      </c>
      <c r="E3852" s="7">
        <f t="shared" si="60"/>
        <v>141</v>
      </c>
      <c r="F3852" s="8"/>
    </row>
    <row r="3853" spans="1:6" ht="18" customHeight="1">
      <c r="A3853" s="4" t="s">
        <v>135</v>
      </c>
      <c r="B3853" s="4" t="str">
        <f>"2020022123"</f>
        <v>2020022123</v>
      </c>
      <c r="C3853" s="5">
        <v>67.400000000000006</v>
      </c>
      <c r="D3853" s="6">
        <v>73.5</v>
      </c>
      <c r="E3853" s="7">
        <f t="shared" si="60"/>
        <v>140.9</v>
      </c>
      <c r="F3853" s="8"/>
    </row>
    <row r="3854" spans="1:6" ht="18" customHeight="1">
      <c r="A3854" s="4" t="s">
        <v>135</v>
      </c>
      <c r="B3854" s="4" t="str">
        <f>"2020040718"</f>
        <v>2020040718</v>
      </c>
      <c r="C3854" s="5">
        <v>63.4</v>
      </c>
      <c r="D3854" s="6">
        <v>77.5</v>
      </c>
      <c r="E3854" s="7">
        <f t="shared" si="60"/>
        <v>140.9</v>
      </c>
      <c r="F3854" s="8"/>
    </row>
    <row r="3855" spans="1:6" ht="18" customHeight="1">
      <c r="A3855" s="4" t="s">
        <v>135</v>
      </c>
      <c r="B3855" s="4" t="str">
        <f>"2020012417"</f>
        <v>2020012417</v>
      </c>
      <c r="C3855" s="5">
        <v>76.099999999999994</v>
      </c>
      <c r="D3855" s="6">
        <v>64.5</v>
      </c>
      <c r="E3855" s="7">
        <f t="shared" si="60"/>
        <v>140.6</v>
      </c>
      <c r="F3855" s="8"/>
    </row>
    <row r="3856" spans="1:6" ht="18" customHeight="1">
      <c r="A3856" s="4" t="s">
        <v>135</v>
      </c>
      <c r="B3856" s="4" t="str">
        <f>"2020043611"</f>
        <v>2020043611</v>
      </c>
      <c r="C3856" s="5">
        <v>67.599999999999994</v>
      </c>
      <c r="D3856" s="6">
        <v>73</v>
      </c>
      <c r="E3856" s="7">
        <f t="shared" si="60"/>
        <v>140.6</v>
      </c>
      <c r="F3856" s="8"/>
    </row>
    <row r="3857" spans="1:6" ht="18" customHeight="1">
      <c r="A3857" s="4" t="s">
        <v>135</v>
      </c>
      <c r="B3857" s="4" t="str">
        <f>"2020043004"</f>
        <v>2020043004</v>
      </c>
      <c r="C3857" s="5">
        <v>68</v>
      </c>
      <c r="D3857" s="6">
        <v>72.5</v>
      </c>
      <c r="E3857" s="7">
        <f t="shared" si="60"/>
        <v>140.5</v>
      </c>
      <c r="F3857" s="8"/>
    </row>
    <row r="3858" spans="1:6" ht="18" customHeight="1">
      <c r="A3858" s="4" t="s">
        <v>135</v>
      </c>
      <c r="B3858" s="4" t="str">
        <f>"2020022817"</f>
        <v>2020022817</v>
      </c>
      <c r="C3858" s="5">
        <v>71.099999999999994</v>
      </c>
      <c r="D3858" s="6">
        <v>69</v>
      </c>
      <c r="E3858" s="7">
        <f t="shared" si="60"/>
        <v>140.1</v>
      </c>
      <c r="F3858" s="8"/>
    </row>
    <row r="3859" spans="1:6" ht="18" customHeight="1">
      <c r="A3859" s="4" t="s">
        <v>135</v>
      </c>
      <c r="B3859" s="4" t="str">
        <f>"2020021819"</f>
        <v>2020021819</v>
      </c>
      <c r="C3859" s="5">
        <v>75.900000000000006</v>
      </c>
      <c r="D3859" s="6">
        <v>64</v>
      </c>
      <c r="E3859" s="7">
        <f t="shared" si="60"/>
        <v>139.9</v>
      </c>
      <c r="F3859" s="8"/>
    </row>
    <row r="3860" spans="1:6" ht="18" customHeight="1">
      <c r="A3860" s="4" t="s">
        <v>135</v>
      </c>
      <c r="B3860" s="4" t="str">
        <f>"2020042413"</f>
        <v>2020042413</v>
      </c>
      <c r="C3860" s="5">
        <v>71.8</v>
      </c>
      <c r="D3860" s="6">
        <v>68</v>
      </c>
      <c r="E3860" s="7">
        <f t="shared" si="60"/>
        <v>139.80000000000001</v>
      </c>
      <c r="F3860" s="8"/>
    </row>
    <row r="3861" spans="1:6" ht="18" customHeight="1">
      <c r="A3861" s="4" t="s">
        <v>135</v>
      </c>
      <c r="B3861" s="4" t="str">
        <f>"2020031402"</f>
        <v>2020031402</v>
      </c>
      <c r="C3861" s="5">
        <v>72.2</v>
      </c>
      <c r="D3861" s="6">
        <v>67.5</v>
      </c>
      <c r="E3861" s="7">
        <f t="shared" si="60"/>
        <v>139.69999999999999</v>
      </c>
      <c r="F3861" s="8"/>
    </row>
    <row r="3862" spans="1:6" ht="18" customHeight="1">
      <c r="A3862" s="4" t="s">
        <v>135</v>
      </c>
      <c r="B3862" s="4" t="str">
        <f>"2020030830"</f>
        <v>2020030830</v>
      </c>
      <c r="C3862" s="5">
        <v>71.099999999999994</v>
      </c>
      <c r="D3862" s="6">
        <v>68.5</v>
      </c>
      <c r="E3862" s="7">
        <f t="shared" si="60"/>
        <v>139.6</v>
      </c>
      <c r="F3862" s="8"/>
    </row>
    <row r="3863" spans="1:6" ht="18" customHeight="1">
      <c r="A3863" s="4" t="s">
        <v>135</v>
      </c>
      <c r="B3863" s="4" t="str">
        <f>"2020031014"</f>
        <v>2020031014</v>
      </c>
      <c r="C3863" s="5">
        <v>70.599999999999994</v>
      </c>
      <c r="D3863" s="6">
        <v>69</v>
      </c>
      <c r="E3863" s="7">
        <f t="shared" si="60"/>
        <v>139.6</v>
      </c>
      <c r="F3863" s="8"/>
    </row>
    <row r="3864" spans="1:6" ht="18" customHeight="1">
      <c r="A3864" s="4" t="s">
        <v>135</v>
      </c>
      <c r="B3864" s="4" t="str">
        <f>"2020045512"</f>
        <v>2020045512</v>
      </c>
      <c r="C3864" s="5">
        <v>69.5</v>
      </c>
      <c r="D3864" s="6">
        <v>70</v>
      </c>
      <c r="E3864" s="7">
        <f t="shared" si="60"/>
        <v>139.5</v>
      </c>
      <c r="F3864" s="8"/>
    </row>
    <row r="3865" spans="1:6" ht="18" customHeight="1">
      <c r="A3865" s="4" t="s">
        <v>135</v>
      </c>
      <c r="B3865" s="4" t="str">
        <f>"2020046006"</f>
        <v>2020046006</v>
      </c>
      <c r="C3865" s="5">
        <v>73.400000000000006</v>
      </c>
      <c r="D3865" s="6">
        <v>66</v>
      </c>
      <c r="E3865" s="7">
        <f t="shared" si="60"/>
        <v>139.4</v>
      </c>
      <c r="F3865" s="8"/>
    </row>
    <row r="3866" spans="1:6" ht="18" customHeight="1">
      <c r="A3866" s="4" t="s">
        <v>135</v>
      </c>
      <c r="B3866" s="4" t="str">
        <f>"2020032902"</f>
        <v>2020032902</v>
      </c>
      <c r="C3866" s="5">
        <v>72.7</v>
      </c>
      <c r="D3866" s="6">
        <v>66.5</v>
      </c>
      <c r="E3866" s="7">
        <f t="shared" si="60"/>
        <v>139.19999999999999</v>
      </c>
      <c r="F3866" s="8"/>
    </row>
    <row r="3867" spans="1:6" ht="18" customHeight="1">
      <c r="A3867" s="4" t="s">
        <v>135</v>
      </c>
      <c r="B3867" s="4" t="str">
        <f>"2020011601"</f>
        <v>2020011601</v>
      </c>
      <c r="C3867" s="5">
        <v>70.400000000000006</v>
      </c>
      <c r="D3867" s="6">
        <v>68.5</v>
      </c>
      <c r="E3867" s="7">
        <f t="shared" si="60"/>
        <v>138.9</v>
      </c>
      <c r="F3867" s="8"/>
    </row>
    <row r="3868" spans="1:6" ht="18" customHeight="1">
      <c r="A3868" s="4" t="s">
        <v>135</v>
      </c>
      <c r="B3868" s="4" t="str">
        <f>"2020040803"</f>
        <v>2020040803</v>
      </c>
      <c r="C3868" s="5">
        <v>74.2</v>
      </c>
      <c r="D3868" s="6">
        <v>64.5</v>
      </c>
      <c r="E3868" s="7">
        <f t="shared" si="60"/>
        <v>138.69999999999999</v>
      </c>
      <c r="F3868" s="8"/>
    </row>
    <row r="3869" spans="1:6" ht="18" customHeight="1">
      <c r="A3869" s="4" t="s">
        <v>135</v>
      </c>
      <c r="B3869" s="4" t="str">
        <f>"2020013516"</f>
        <v>2020013516</v>
      </c>
      <c r="C3869" s="5">
        <v>73.3</v>
      </c>
      <c r="D3869" s="6">
        <v>65</v>
      </c>
      <c r="E3869" s="7">
        <f t="shared" si="60"/>
        <v>138.30000000000001</v>
      </c>
      <c r="F3869" s="8"/>
    </row>
    <row r="3870" spans="1:6" ht="18" customHeight="1">
      <c r="A3870" s="4" t="s">
        <v>135</v>
      </c>
      <c r="B3870" s="4" t="str">
        <f>"2020034016"</f>
        <v>2020034016</v>
      </c>
      <c r="C3870" s="5">
        <v>65.7</v>
      </c>
      <c r="D3870" s="6">
        <v>72</v>
      </c>
      <c r="E3870" s="7">
        <f t="shared" si="60"/>
        <v>137.69999999999999</v>
      </c>
      <c r="F3870" s="8"/>
    </row>
    <row r="3871" spans="1:6" ht="18" customHeight="1">
      <c r="A3871" s="4" t="s">
        <v>135</v>
      </c>
      <c r="B3871" s="4" t="str">
        <f>"2020034018"</f>
        <v>2020034018</v>
      </c>
      <c r="C3871" s="5">
        <v>66.900000000000006</v>
      </c>
      <c r="D3871" s="6">
        <v>70.5</v>
      </c>
      <c r="E3871" s="7">
        <f t="shared" si="60"/>
        <v>137.4</v>
      </c>
      <c r="F3871" s="8"/>
    </row>
    <row r="3872" spans="1:6" ht="18" customHeight="1">
      <c r="A3872" s="4" t="s">
        <v>135</v>
      </c>
      <c r="B3872" s="4" t="str">
        <f>"2020041326"</f>
        <v>2020041326</v>
      </c>
      <c r="C3872" s="5">
        <v>64.5</v>
      </c>
      <c r="D3872" s="6">
        <v>72.5</v>
      </c>
      <c r="E3872" s="7">
        <f t="shared" si="60"/>
        <v>137</v>
      </c>
      <c r="F3872" s="8"/>
    </row>
    <row r="3873" spans="1:6" ht="18" customHeight="1">
      <c r="A3873" s="4" t="s">
        <v>135</v>
      </c>
      <c r="B3873" s="4" t="str">
        <f>"2020030714"</f>
        <v>2020030714</v>
      </c>
      <c r="C3873" s="5">
        <v>70.3</v>
      </c>
      <c r="D3873" s="6">
        <v>66.5</v>
      </c>
      <c r="E3873" s="7">
        <f t="shared" si="60"/>
        <v>136.80000000000001</v>
      </c>
      <c r="F3873" s="8"/>
    </row>
    <row r="3874" spans="1:6" ht="18" customHeight="1">
      <c r="A3874" s="4" t="s">
        <v>135</v>
      </c>
      <c r="B3874" s="4" t="str">
        <f>"2020024629"</f>
        <v>2020024629</v>
      </c>
      <c r="C3874" s="5">
        <v>64.3</v>
      </c>
      <c r="D3874" s="6">
        <v>72.5</v>
      </c>
      <c r="E3874" s="7">
        <f t="shared" si="60"/>
        <v>136.80000000000001</v>
      </c>
      <c r="F3874" s="8"/>
    </row>
    <row r="3875" spans="1:6" ht="18" customHeight="1">
      <c r="A3875" s="4" t="s">
        <v>135</v>
      </c>
      <c r="B3875" s="4" t="str">
        <f>"2020033004"</f>
        <v>2020033004</v>
      </c>
      <c r="C3875" s="5">
        <v>68.400000000000006</v>
      </c>
      <c r="D3875" s="6">
        <v>68</v>
      </c>
      <c r="E3875" s="7">
        <f t="shared" si="60"/>
        <v>136.4</v>
      </c>
      <c r="F3875" s="8"/>
    </row>
    <row r="3876" spans="1:6" ht="18" customHeight="1">
      <c r="A3876" s="4" t="s">
        <v>135</v>
      </c>
      <c r="B3876" s="4" t="str">
        <f>"2020045905"</f>
        <v>2020045905</v>
      </c>
      <c r="C3876" s="5">
        <v>64.2</v>
      </c>
      <c r="D3876" s="6">
        <v>71.5</v>
      </c>
      <c r="E3876" s="7">
        <f t="shared" si="60"/>
        <v>135.69999999999999</v>
      </c>
      <c r="F3876" s="8"/>
    </row>
    <row r="3877" spans="1:6" ht="18" customHeight="1">
      <c r="A3877" s="4" t="s">
        <v>135</v>
      </c>
      <c r="B3877" s="4" t="str">
        <f>"2020011124"</f>
        <v>2020011124</v>
      </c>
      <c r="C3877" s="5">
        <v>71.599999999999994</v>
      </c>
      <c r="D3877" s="6">
        <v>64</v>
      </c>
      <c r="E3877" s="7">
        <f t="shared" si="60"/>
        <v>135.6</v>
      </c>
      <c r="F3877" s="8"/>
    </row>
    <row r="3878" spans="1:6" ht="18" customHeight="1">
      <c r="A3878" s="4" t="s">
        <v>135</v>
      </c>
      <c r="B3878" s="4" t="str">
        <f>"2020011702"</f>
        <v>2020011702</v>
      </c>
      <c r="C3878" s="5">
        <v>74.400000000000006</v>
      </c>
      <c r="D3878" s="6">
        <v>61</v>
      </c>
      <c r="E3878" s="7">
        <f t="shared" si="60"/>
        <v>135.4</v>
      </c>
      <c r="F3878" s="8"/>
    </row>
    <row r="3879" spans="1:6" ht="18" customHeight="1">
      <c r="A3879" s="4" t="s">
        <v>135</v>
      </c>
      <c r="B3879" s="4" t="str">
        <f>"2020010809"</f>
        <v>2020010809</v>
      </c>
      <c r="C3879" s="5">
        <v>65.8</v>
      </c>
      <c r="D3879" s="6">
        <v>69.5</v>
      </c>
      <c r="E3879" s="7">
        <f t="shared" si="60"/>
        <v>135.30000000000001</v>
      </c>
      <c r="F3879" s="8"/>
    </row>
    <row r="3880" spans="1:6" ht="18" customHeight="1">
      <c r="A3880" s="4" t="s">
        <v>135</v>
      </c>
      <c r="B3880" s="4" t="str">
        <f>"2020043006"</f>
        <v>2020043006</v>
      </c>
      <c r="C3880" s="5">
        <v>65.7</v>
      </c>
      <c r="D3880" s="6">
        <v>69.5</v>
      </c>
      <c r="E3880" s="7">
        <f t="shared" si="60"/>
        <v>135.19999999999999</v>
      </c>
      <c r="F3880" s="8"/>
    </row>
    <row r="3881" spans="1:6" ht="18" customHeight="1">
      <c r="A3881" s="4" t="s">
        <v>135</v>
      </c>
      <c r="B3881" s="4" t="str">
        <f>"2020045304"</f>
        <v>2020045304</v>
      </c>
      <c r="C3881" s="5">
        <v>70.099999999999994</v>
      </c>
      <c r="D3881" s="6">
        <v>65</v>
      </c>
      <c r="E3881" s="7">
        <f t="shared" si="60"/>
        <v>135.1</v>
      </c>
      <c r="F3881" s="8"/>
    </row>
    <row r="3882" spans="1:6" ht="18" customHeight="1">
      <c r="A3882" s="4" t="s">
        <v>135</v>
      </c>
      <c r="B3882" s="4" t="str">
        <f>"2020041316"</f>
        <v>2020041316</v>
      </c>
      <c r="C3882" s="5">
        <v>66.099999999999994</v>
      </c>
      <c r="D3882" s="6">
        <v>69</v>
      </c>
      <c r="E3882" s="7">
        <f t="shared" si="60"/>
        <v>135.1</v>
      </c>
      <c r="F3882" s="8"/>
    </row>
    <row r="3883" spans="1:6" ht="18" customHeight="1">
      <c r="A3883" s="4" t="s">
        <v>135</v>
      </c>
      <c r="B3883" s="4" t="str">
        <f>"2020012202"</f>
        <v>2020012202</v>
      </c>
      <c r="C3883" s="5">
        <v>60.5</v>
      </c>
      <c r="D3883" s="6">
        <v>74</v>
      </c>
      <c r="E3883" s="7">
        <f t="shared" si="60"/>
        <v>134.5</v>
      </c>
      <c r="F3883" s="8"/>
    </row>
    <row r="3884" spans="1:6" ht="18" customHeight="1">
      <c r="A3884" s="4" t="s">
        <v>135</v>
      </c>
      <c r="B3884" s="4" t="str">
        <f>"2020011325"</f>
        <v>2020011325</v>
      </c>
      <c r="C3884" s="5">
        <v>64.3</v>
      </c>
      <c r="D3884" s="6">
        <v>70</v>
      </c>
      <c r="E3884" s="7">
        <f t="shared" si="60"/>
        <v>134.30000000000001</v>
      </c>
      <c r="F3884" s="8"/>
    </row>
    <row r="3885" spans="1:6" ht="18" customHeight="1">
      <c r="A3885" s="4" t="s">
        <v>135</v>
      </c>
      <c r="B3885" s="4" t="str">
        <f>"2020023713"</f>
        <v>2020023713</v>
      </c>
      <c r="C3885" s="5">
        <v>64.7</v>
      </c>
      <c r="D3885" s="6">
        <v>69.5</v>
      </c>
      <c r="E3885" s="7">
        <f t="shared" si="60"/>
        <v>134.19999999999999</v>
      </c>
      <c r="F3885" s="8"/>
    </row>
    <row r="3886" spans="1:6" ht="18" customHeight="1">
      <c r="A3886" s="4" t="s">
        <v>135</v>
      </c>
      <c r="B3886" s="4" t="str">
        <f>"2020022319"</f>
        <v>2020022319</v>
      </c>
      <c r="C3886" s="5">
        <v>70.5</v>
      </c>
      <c r="D3886" s="6">
        <v>63.5</v>
      </c>
      <c r="E3886" s="7">
        <f t="shared" si="60"/>
        <v>134</v>
      </c>
      <c r="F3886" s="8"/>
    </row>
    <row r="3887" spans="1:6" ht="18" customHeight="1">
      <c r="A3887" s="4" t="s">
        <v>135</v>
      </c>
      <c r="B3887" s="4" t="str">
        <f>"2020046402"</f>
        <v>2020046402</v>
      </c>
      <c r="C3887" s="5">
        <v>68.7</v>
      </c>
      <c r="D3887" s="6">
        <v>65</v>
      </c>
      <c r="E3887" s="7">
        <f t="shared" si="60"/>
        <v>133.69999999999999</v>
      </c>
      <c r="F3887" s="8"/>
    </row>
    <row r="3888" spans="1:6" ht="18" customHeight="1">
      <c r="A3888" s="4" t="s">
        <v>135</v>
      </c>
      <c r="B3888" s="4" t="str">
        <f>"2020013303"</f>
        <v>2020013303</v>
      </c>
      <c r="C3888" s="5">
        <v>67.2</v>
      </c>
      <c r="D3888" s="6">
        <v>66.5</v>
      </c>
      <c r="E3888" s="7">
        <f t="shared" si="60"/>
        <v>133.69999999999999</v>
      </c>
      <c r="F3888" s="8"/>
    </row>
    <row r="3889" spans="1:6" ht="18" customHeight="1">
      <c r="A3889" s="4" t="s">
        <v>135</v>
      </c>
      <c r="B3889" s="4" t="str">
        <f>"2020020719"</f>
        <v>2020020719</v>
      </c>
      <c r="C3889" s="5">
        <v>59.6</v>
      </c>
      <c r="D3889" s="6">
        <v>74</v>
      </c>
      <c r="E3889" s="7">
        <f t="shared" si="60"/>
        <v>133.6</v>
      </c>
      <c r="F3889" s="8"/>
    </row>
    <row r="3890" spans="1:6" ht="18" customHeight="1">
      <c r="A3890" s="4" t="s">
        <v>135</v>
      </c>
      <c r="B3890" s="4" t="str">
        <f>"2020011309"</f>
        <v>2020011309</v>
      </c>
      <c r="C3890" s="5">
        <v>76.3</v>
      </c>
      <c r="D3890" s="6">
        <v>57</v>
      </c>
      <c r="E3890" s="7">
        <f t="shared" si="60"/>
        <v>133.30000000000001</v>
      </c>
      <c r="F3890" s="8"/>
    </row>
    <row r="3891" spans="1:6" ht="18" customHeight="1">
      <c r="A3891" s="4" t="s">
        <v>135</v>
      </c>
      <c r="B3891" s="4" t="str">
        <f>"2020045019"</f>
        <v>2020045019</v>
      </c>
      <c r="C3891" s="5">
        <v>68.900000000000006</v>
      </c>
      <c r="D3891" s="6">
        <v>64</v>
      </c>
      <c r="E3891" s="7">
        <f t="shared" si="60"/>
        <v>132.9</v>
      </c>
      <c r="F3891" s="8"/>
    </row>
    <row r="3892" spans="1:6" ht="18" customHeight="1">
      <c r="A3892" s="4" t="s">
        <v>135</v>
      </c>
      <c r="B3892" s="4" t="str">
        <f>"2020012802"</f>
        <v>2020012802</v>
      </c>
      <c r="C3892" s="5">
        <v>65.900000000000006</v>
      </c>
      <c r="D3892" s="6">
        <v>67</v>
      </c>
      <c r="E3892" s="7">
        <f t="shared" si="60"/>
        <v>132.9</v>
      </c>
      <c r="F3892" s="8"/>
    </row>
    <row r="3893" spans="1:6" ht="18" customHeight="1">
      <c r="A3893" s="4" t="s">
        <v>135</v>
      </c>
      <c r="B3893" s="4" t="str">
        <f>"2020010316"</f>
        <v>2020010316</v>
      </c>
      <c r="C3893" s="5">
        <v>66.8</v>
      </c>
      <c r="D3893" s="6">
        <v>66</v>
      </c>
      <c r="E3893" s="7">
        <f t="shared" si="60"/>
        <v>132.80000000000001</v>
      </c>
      <c r="F3893" s="8"/>
    </row>
    <row r="3894" spans="1:6" ht="18" customHeight="1">
      <c r="A3894" s="4" t="s">
        <v>135</v>
      </c>
      <c r="B3894" s="4" t="str">
        <f>"2020013822"</f>
        <v>2020013822</v>
      </c>
      <c r="C3894" s="5">
        <v>76.8</v>
      </c>
      <c r="D3894" s="6">
        <v>55.5</v>
      </c>
      <c r="E3894" s="7">
        <f t="shared" si="60"/>
        <v>132.30000000000001</v>
      </c>
      <c r="F3894" s="8"/>
    </row>
    <row r="3895" spans="1:6" ht="18" customHeight="1">
      <c r="A3895" s="4" t="s">
        <v>135</v>
      </c>
      <c r="B3895" s="4" t="str">
        <f>"2020011924"</f>
        <v>2020011924</v>
      </c>
      <c r="C3895" s="5">
        <v>61.7</v>
      </c>
      <c r="D3895" s="6">
        <v>70.5</v>
      </c>
      <c r="E3895" s="7">
        <f t="shared" si="60"/>
        <v>132.19999999999999</v>
      </c>
      <c r="F3895" s="8"/>
    </row>
    <row r="3896" spans="1:6" ht="18" customHeight="1">
      <c r="A3896" s="4" t="s">
        <v>135</v>
      </c>
      <c r="B3896" s="4" t="str">
        <f>"2020042001"</f>
        <v>2020042001</v>
      </c>
      <c r="C3896" s="5">
        <v>68.099999999999994</v>
      </c>
      <c r="D3896" s="6">
        <v>64</v>
      </c>
      <c r="E3896" s="7">
        <f t="shared" si="60"/>
        <v>132.1</v>
      </c>
      <c r="F3896" s="8"/>
    </row>
    <row r="3897" spans="1:6" ht="18" customHeight="1">
      <c r="A3897" s="4" t="s">
        <v>135</v>
      </c>
      <c r="B3897" s="4" t="str">
        <f>"2020032323"</f>
        <v>2020032323</v>
      </c>
      <c r="C3897" s="5">
        <v>69.599999999999994</v>
      </c>
      <c r="D3897" s="6">
        <v>62</v>
      </c>
      <c r="E3897" s="7">
        <f t="shared" si="60"/>
        <v>131.6</v>
      </c>
      <c r="F3897" s="8"/>
    </row>
    <row r="3898" spans="1:6" ht="18" customHeight="1">
      <c r="A3898" s="4" t="s">
        <v>135</v>
      </c>
      <c r="B3898" s="4" t="str">
        <f>"2020010816"</f>
        <v>2020010816</v>
      </c>
      <c r="C3898" s="5">
        <v>75.3</v>
      </c>
      <c r="D3898" s="6">
        <v>56</v>
      </c>
      <c r="E3898" s="7">
        <f t="shared" si="60"/>
        <v>131.30000000000001</v>
      </c>
      <c r="F3898" s="8"/>
    </row>
    <row r="3899" spans="1:6" ht="18" customHeight="1">
      <c r="A3899" s="4" t="s">
        <v>135</v>
      </c>
      <c r="B3899" s="4" t="str">
        <f>"2020042710"</f>
        <v>2020042710</v>
      </c>
      <c r="C3899" s="5">
        <v>70.3</v>
      </c>
      <c r="D3899" s="6">
        <v>61</v>
      </c>
      <c r="E3899" s="7">
        <f t="shared" si="60"/>
        <v>131.30000000000001</v>
      </c>
      <c r="F3899" s="8"/>
    </row>
    <row r="3900" spans="1:6" ht="18" customHeight="1">
      <c r="A3900" s="4" t="s">
        <v>135</v>
      </c>
      <c r="B3900" s="4" t="str">
        <f>"2020046711"</f>
        <v>2020046711</v>
      </c>
      <c r="C3900" s="5">
        <v>63.5</v>
      </c>
      <c r="D3900" s="6">
        <v>67.5</v>
      </c>
      <c r="E3900" s="7">
        <f t="shared" si="60"/>
        <v>131</v>
      </c>
      <c r="F3900" s="8"/>
    </row>
    <row r="3901" spans="1:6" ht="18" customHeight="1">
      <c r="A3901" s="4" t="s">
        <v>135</v>
      </c>
      <c r="B3901" s="4" t="str">
        <f>"2020012128"</f>
        <v>2020012128</v>
      </c>
      <c r="C3901" s="5">
        <v>61.8</v>
      </c>
      <c r="D3901" s="6">
        <v>69</v>
      </c>
      <c r="E3901" s="7">
        <f t="shared" si="60"/>
        <v>130.80000000000001</v>
      </c>
      <c r="F3901" s="8"/>
    </row>
    <row r="3902" spans="1:6" ht="18" customHeight="1">
      <c r="A3902" s="4" t="s">
        <v>135</v>
      </c>
      <c r="B3902" s="4" t="str">
        <f>"2020023105"</f>
        <v>2020023105</v>
      </c>
      <c r="C3902" s="5">
        <v>66.2</v>
      </c>
      <c r="D3902" s="6">
        <v>64.5</v>
      </c>
      <c r="E3902" s="7">
        <f t="shared" si="60"/>
        <v>130.69999999999999</v>
      </c>
      <c r="F3902" s="8"/>
    </row>
    <row r="3903" spans="1:6" ht="18" customHeight="1">
      <c r="A3903" s="4" t="s">
        <v>135</v>
      </c>
      <c r="B3903" s="4" t="str">
        <f>"2020044014"</f>
        <v>2020044014</v>
      </c>
      <c r="C3903" s="5">
        <v>66.099999999999994</v>
      </c>
      <c r="D3903" s="6">
        <v>64.5</v>
      </c>
      <c r="E3903" s="7">
        <f t="shared" si="60"/>
        <v>130.6</v>
      </c>
      <c r="F3903" s="8"/>
    </row>
    <row r="3904" spans="1:6" ht="18" customHeight="1">
      <c r="A3904" s="4" t="s">
        <v>135</v>
      </c>
      <c r="B3904" s="4" t="str">
        <f>"2020031427"</f>
        <v>2020031427</v>
      </c>
      <c r="C3904" s="5">
        <v>58.1</v>
      </c>
      <c r="D3904" s="6">
        <v>72.5</v>
      </c>
      <c r="E3904" s="7">
        <f t="shared" si="60"/>
        <v>130.6</v>
      </c>
      <c r="F3904" s="8"/>
    </row>
    <row r="3905" spans="1:6" ht="18" customHeight="1">
      <c r="A3905" s="4" t="s">
        <v>135</v>
      </c>
      <c r="B3905" s="4" t="str">
        <f>"2020032909"</f>
        <v>2020032909</v>
      </c>
      <c r="C3905" s="5">
        <v>65.3</v>
      </c>
      <c r="D3905" s="6">
        <v>65</v>
      </c>
      <c r="E3905" s="7">
        <f t="shared" si="60"/>
        <v>130.30000000000001</v>
      </c>
      <c r="F3905" s="8"/>
    </row>
    <row r="3906" spans="1:6" ht="18" customHeight="1">
      <c r="A3906" s="4" t="s">
        <v>135</v>
      </c>
      <c r="B3906" s="4" t="str">
        <f>"2020030122"</f>
        <v>2020030122</v>
      </c>
      <c r="C3906" s="5">
        <v>65.099999999999994</v>
      </c>
      <c r="D3906" s="6">
        <v>65</v>
      </c>
      <c r="E3906" s="7">
        <f t="shared" si="60"/>
        <v>130.1</v>
      </c>
      <c r="F3906" s="8"/>
    </row>
    <row r="3907" spans="1:6" ht="18" customHeight="1">
      <c r="A3907" s="4" t="s">
        <v>135</v>
      </c>
      <c r="B3907" s="4" t="str">
        <f>"2020041704"</f>
        <v>2020041704</v>
      </c>
      <c r="C3907" s="5">
        <v>71.7</v>
      </c>
      <c r="D3907" s="6">
        <v>58</v>
      </c>
      <c r="E3907" s="7">
        <f t="shared" ref="E3907:E3970" si="61">SUM(C3907:D3907)</f>
        <v>129.69999999999999</v>
      </c>
      <c r="F3907" s="8"/>
    </row>
    <row r="3908" spans="1:6" ht="18" customHeight="1">
      <c r="A3908" s="4" t="s">
        <v>135</v>
      </c>
      <c r="B3908" s="4" t="str">
        <f>"2020031106"</f>
        <v>2020031106</v>
      </c>
      <c r="C3908" s="5">
        <v>63.1</v>
      </c>
      <c r="D3908" s="6">
        <v>66.5</v>
      </c>
      <c r="E3908" s="7">
        <f t="shared" si="61"/>
        <v>129.6</v>
      </c>
      <c r="F3908" s="8"/>
    </row>
    <row r="3909" spans="1:6" ht="18" customHeight="1">
      <c r="A3909" s="4" t="s">
        <v>135</v>
      </c>
      <c r="B3909" s="4" t="str">
        <f>"2020031820"</f>
        <v>2020031820</v>
      </c>
      <c r="C3909" s="5">
        <v>66.900000000000006</v>
      </c>
      <c r="D3909" s="6">
        <v>62.5</v>
      </c>
      <c r="E3909" s="7">
        <f t="shared" si="61"/>
        <v>129.4</v>
      </c>
      <c r="F3909" s="8"/>
    </row>
    <row r="3910" spans="1:6" ht="18" customHeight="1">
      <c r="A3910" s="4" t="s">
        <v>135</v>
      </c>
      <c r="B3910" s="4" t="str">
        <f>"2020010205"</f>
        <v>2020010205</v>
      </c>
      <c r="C3910" s="5">
        <v>66.2</v>
      </c>
      <c r="D3910" s="6">
        <v>63</v>
      </c>
      <c r="E3910" s="7">
        <f t="shared" si="61"/>
        <v>129.19999999999999</v>
      </c>
      <c r="F3910" s="8"/>
    </row>
    <row r="3911" spans="1:6" ht="18" customHeight="1">
      <c r="A3911" s="4" t="s">
        <v>135</v>
      </c>
      <c r="B3911" s="4" t="str">
        <f>"2020023015"</f>
        <v>2020023015</v>
      </c>
      <c r="C3911" s="5">
        <v>62.6</v>
      </c>
      <c r="D3911" s="6">
        <v>66.5</v>
      </c>
      <c r="E3911" s="7">
        <f t="shared" si="61"/>
        <v>129.1</v>
      </c>
      <c r="F3911" s="8"/>
    </row>
    <row r="3912" spans="1:6" ht="18" customHeight="1">
      <c r="A3912" s="4" t="s">
        <v>135</v>
      </c>
      <c r="B3912" s="4" t="str">
        <f>"2020046822"</f>
        <v>2020046822</v>
      </c>
      <c r="C3912" s="5">
        <v>71.2</v>
      </c>
      <c r="D3912" s="6">
        <v>57.5</v>
      </c>
      <c r="E3912" s="7">
        <f t="shared" si="61"/>
        <v>128.69999999999999</v>
      </c>
      <c r="F3912" s="8"/>
    </row>
    <row r="3913" spans="1:6" ht="18" customHeight="1">
      <c r="A3913" s="4" t="s">
        <v>135</v>
      </c>
      <c r="B3913" s="4" t="str">
        <f>"2020023411"</f>
        <v>2020023411</v>
      </c>
      <c r="C3913" s="5">
        <v>65.900000000000006</v>
      </c>
      <c r="D3913" s="6">
        <v>62.5</v>
      </c>
      <c r="E3913" s="7">
        <f t="shared" si="61"/>
        <v>128.4</v>
      </c>
      <c r="F3913" s="8"/>
    </row>
    <row r="3914" spans="1:6" ht="18" customHeight="1">
      <c r="A3914" s="4" t="s">
        <v>135</v>
      </c>
      <c r="B3914" s="4" t="str">
        <f>"2020024627"</f>
        <v>2020024627</v>
      </c>
      <c r="C3914" s="5">
        <v>76.2</v>
      </c>
      <c r="D3914" s="6">
        <v>52</v>
      </c>
      <c r="E3914" s="7">
        <f t="shared" si="61"/>
        <v>128.19999999999999</v>
      </c>
      <c r="F3914" s="8"/>
    </row>
    <row r="3915" spans="1:6" ht="18" customHeight="1">
      <c r="A3915" s="4" t="s">
        <v>135</v>
      </c>
      <c r="B3915" s="4" t="str">
        <f>"2020010607"</f>
        <v>2020010607</v>
      </c>
      <c r="C3915" s="5">
        <v>70.099999999999994</v>
      </c>
      <c r="D3915" s="6">
        <v>58</v>
      </c>
      <c r="E3915" s="7">
        <f t="shared" si="61"/>
        <v>128.1</v>
      </c>
      <c r="F3915" s="8"/>
    </row>
    <row r="3916" spans="1:6" ht="18" customHeight="1">
      <c r="A3916" s="4" t="s">
        <v>135</v>
      </c>
      <c r="B3916" s="4" t="str">
        <f>"2020032201"</f>
        <v>2020032201</v>
      </c>
      <c r="C3916" s="5">
        <v>67</v>
      </c>
      <c r="D3916" s="6">
        <v>61</v>
      </c>
      <c r="E3916" s="7">
        <f t="shared" si="61"/>
        <v>128</v>
      </c>
      <c r="F3916" s="8"/>
    </row>
    <row r="3917" spans="1:6" ht="18" customHeight="1">
      <c r="A3917" s="4" t="s">
        <v>135</v>
      </c>
      <c r="B3917" s="4" t="str">
        <f>"2020045509"</f>
        <v>2020045509</v>
      </c>
      <c r="C3917" s="5">
        <v>64.5</v>
      </c>
      <c r="D3917" s="6">
        <v>63.5</v>
      </c>
      <c r="E3917" s="7">
        <f t="shared" si="61"/>
        <v>128</v>
      </c>
      <c r="F3917" s="8"/>
    </row>
    <row r="3918" spans="1:6" ht="18" customHeight="1">
      <c r="A3918" s="4" t="s">
        <v>135</v>
      </c>
      <c r="B3918" s="4" t="str">
        <f>"2020040719"</f>
        <v>2020040719</v>
      </c>
      <c r="C3918" s="5">
        <v>63.8</v>
      </c>
      <c r="D3918" s="6">
        <v>64</v>
      </c>
      <c r="E3918" s="7">
        <f t="shared" si="61"/>
        <v>127.8</v>
      </c>
      <c r="F3918" s="8"/>
    </row>
    <row r="3919" spans="1:6" ht="18" customHeight="1">
      <c r="A3919" s="4" t="s">
        <v>135</v>
      </c>
      <c r="B3919" s="4" t="str">
        <f>"2020044511"</f>
        <v>2020044511</v>
      </c>
      <c r="C3919" s="5">
        <v>57.6</v>
      </c>
      <c r="D3919" s="6">
        <v>70</v>
      </c>
      <c r="E3919" s="7">
        <f t="shared" si="61"/>
        <v>127.6</v>
      </c>
      <c r="F3919" s="8"/>
    </row>
    <row r="3920" spans="1:6" ht="18" customHeight="1">
      <c r="A3920" s="4" t="s">
        <v>135</v>
      </c>
      <c r="B3920" s="4" t="str">
        <f>"2020030518"</f>
        <v>2020030518</v>
      </c>
      <c r="C3920" s="5">
        <v>55.6</v>
      </c>
      <c r="D3920" s="6">
        <v>71.5</v>
      </c>
      <c r="E3920" s="7">
        <f t="shared" si="61"/>
        <v>127.1</v>
      </c>
      <c r="F3920" s="8"/>
    </row>
    <row r="3921" spans="1:6" ht="18" customHeight="1">
      <c r="A3921" s="4" t="s">
        <v>135</v>
      </c>
      <c r="B3921" s="4" t="str">
        <f>"2020047015"</f>
        <v>2020047015</v>
      </c>
      <c r="C3921" s="5">
        <v>70.900000000000006</v>
      </c>
      <c r="D3921" s="6">
        <v>56</v>
      </c>
      <c r="E3921" s="7">
        <f t="shared" si="61"/>
        <v>126.9</v>
      </c>
      <c r="F3921" s="8"/>
    </row>
    <row r="3922" spans="1:6" ht="18" customHeight="1">
      <c r="A3922" s="4" t="s">
        <v>135</v>
      </c>
      <c r="B3922" s="4" t="str">
        <f>"2020020330"</f>
        <v>2020020330</v>
      </c>
      <c r="C3922" s="5">
        <v>67.900000000000006</v>
      </c>
      <c r="D3922" s="6">
        <v>59</v>
      </c>
      <c r="E3922" s="7">
        <f t="shared" si="61"/>
        <v>126.9</v>
      </c>
      <c r="F3922" s="8"/>
    </row>
    <row r="3923" spans="1:6" ht="18" customHeight="1">
      <c r="A3923" s="4" t="s">
        <v>135</v>
      </c>
      <c r="B3923" s="4" t="str">
        <f>"2020012115"</f>
        <v>2020012115</v>
      </c>
      <c r="C3923" s="5">
        <v>62.4</v>
      </c>
      <c r="D3923" s="6">
        <v>64</v>
      </c>
      <c r="E3923" s="7">
        <f t="shared" si="61"/>
        <v>126.4</v>
      </c>
      <c r="F3923" s="8"/>
    </row>
    <row r="3924" spans="1:6" ht="18" customHeight="1">
      <c r="A3924" s="4" t="s">
        <v>135</v>
      </c>
      <c r="B3924" s="4" t="str">
        <f>"2020011022"</f>
        <v>2020011022</v>
      </c>
      <c r="C3924" s="5">
        <v>62.3</v>
      </c>
      <c r="D3924" s="6">
        <v>64</v>
      </c>
      <c r="E3924" s="7">
        <f t="shared" si="61"/>
        <v>126.3</v>
      </c>
      <c r="F3924" s="8"/>
    </row>
    <row r="3925" spans="1:6" ht="18" customHeight="1">
      <c r="A3925" s="4" t="s">
        <v>135</v>
      </c>
      <c r="B3925" s="4" t="str">
        <f>"2020014025"</f>
        <v>2020014025</v>
      </c>
      <c r="C3925" s="5">
        <v>59.1</v>
      </c>
      <c r="D3925" s="6">
        <v>67</v>
      </c>
      <c r="E3925" s="7">
        <f t="shared" si="61"/>
        <v>126.1</v>
      </c>
      <c r="F3925" s="8"/>
    </row>
    <row r="3926" spans="1:6" ht="18" customHeight="1">
      <c r="A3926" s="4" t="s">
        <v>135</v>
      </c>
      <c r="B3926" s="4" t="str">
        <f>"2020041223"</f>
        <v>2020041223</v>
      </c>
      <c r="C3926" s="5">
        <v>63.9</v>
      </c>
      <c r="D3926" s="6">
        <v>62</v>
      </c>
      <c r="E3926" s="7">
        <f t="shared" si="61"/>
        <v>125.9</v>
      </c>
      <c r="F3926" s="8"/>
    </row>
    <row r="3927" spans="1:6" ht="18" customHeight="1">
      <c r="A3927" s="4" t="s">
        <v>135</v>
      </c>
      <c r="B3927" s="4" t="str">
        <f>"2020022823"</f>
        <v>2020022823</v>
      </c>
      <c r="C3927" s="5">
        <v>70.900000000000006</v>
      </c>
      <c r="D3927" s="6">
        <v>54.5</v>
      </c>
      <c r="E3927" s="7">
        <f t="shared" si="61"/>
        <v>125.4</v>
      </c>
      <c r="F3927" s="8"/>
    </row>
    <row r="3928" spans="1:6" ht="18" customHeight="1">
      <c r="A3928" s="4" t="s">
        <v>135</v>
      </c>
      <c r="B3928" s="4" t="str">
        <f>"2020041615"</f>
        <v>2020041615</v>
      </c>
      <c r="C3928" s="5">
        <v>68.900000000000006</v>
      </c>
      <c r="D3928" s="6">
        <v>56</v>
      </c>
      <c r="E3928" s="7">
        <f t="shared" si="61"/>
        <v>124.9</v>
      </c>
      <c r="F3928" s="8"/>
    </row>
    <row r="3929" spans="1:6" ht="18" customHeight="1">
      <c r="A3929" s="4" t="s">
        <v>135</v>
      </c>
      <c r="B3929" s="4" t="str">
        <f>"2020046316"</f>
        <v>2020046316</v>
      </c>
      <c r="C3929" s="5">
        <v>62.9</v>
      </c>
      <c r="D3929" s="6">
        <v>61.5</v>
      </c>
      <c r="E3929" s="7">
        <f t="shared" si="61"/>
        <v>124.4</v>
      </c>
      <c r="F3929" s="8"/>
    </row>
    <row r="3930" spans="1:6" ht="18" customHeight="1">
      <c r="A3930" s="4" t="s">
        <v>135</v>
      </c>
      <c r="B3930" s="4" t="str">
        <f>"2020041826"</f>
        <v>2020041826</v>
      </c>
      <c r="C3930" s="5">
        <v>56.7</v>
      </c>
      <c r="D3930" s="6">
        <v>67.5</v>
      </c>
      <c r="E3930" s="7">
        <f t="shared" si="61"/>
        <v>124.2</v>
      </c>
      <c r="F3930" s="8"/>
    </row>
    <row r="3931" spans="1:6" ht="18" customHeight="1">
      <c r="A3931" s="4" t="s">
        <v>135</v>
      </c>
      <c r="B3931" s="4" t="str">
        <f>"2020012503"</f>
        <v>2020012503</v>
      </c>
      <c r="C3931" s="5">
        <v>64.5</v>
      </c>
      <c r="D3931" s="6">
        <v>59.5</v>
      </c>
      <c r="E3931" s="7">
        <f t="shared" si="61"/>
        <v>124</v>
      </c>
      <c r="F3931" s="8"/>
    </row>
    <row r="3932" spans="1:6" ht="18" customHeight="1">
      <c r="A3932" s="4" t="s">
        <v>135</v>
      </c>
      <c r="B3932" s="4" t="str">
        <f>"2020021413"</f>
        <v>2020021413</v>
      </c>
      <c r="C3932" s="5">
        <v>66.900000000000006</v>
      </c>
      <c r="D3932" s="6">
        <v>57</v>
      </c>
      <c r="E3932" s="7">
        <f t="shared" si="61"/>
        <v>123.9</v>
      </c>
      <c r="F3932" s="8"/>
    </row>
    <row r="3933" spans="1:6" ht="18" customHeight="1">
      <c r="A3933" s="4" t="s">
        <v>135</v>
      </c>
      <c r="B3933" s="4" t="str">
        <f>"2020045925"</f>
        <v>2020045925</v>
      </c>
      <c r="C3933" s="5">
        <v>58.4</v>
      </c>
      <c r="D3933" s="6">
        <v>65.5</v>
      </c>
      <c r="E3933" s="7">
        <f t="shared" si="61"/>
        <v>123.9</v>
      </c>
      <c r="F3933" s="8"/>
    </row>
    <row r="3934" spans="1:6" ht="18" customHeight="1">
      <c r="A3934" s="4" t="s">
        <v>135</v>
      </c>
      <c r="B3934" s="4" t="str">
        <f>"2020045710"</f>
        <v>2020045710</v>
      </c>
      <c r="C3934" s="5">
        <v>59.7</v>
      </c>
      <c r="D3934" s="6">
        <v>64</v>
      </c>
      <c r="E3934" s="7">
        <f t="shared" si="61"/>
        <v>123.7</v>
      </c>
      <c r="F3934" s="8"/>
    </row>
    <row r="3935" spans="1:6" ht="18" customHeight="1">
      <c r="A3935" s="4" t="s">
        <v>135</v>
      </c>
      <c r="B3935" s="4" t="str">
        <f>"2020010112"</f>
        <v>2020010112</v>
      </c>
      <c r="C3935" s="5">
        <v>58.1</v>
      </c>
      <c r="D3935" s="6">
        <v>65.5</v>
      </c>
      <c r="E3935" s="7">
        <f t="shared" si="61"/>
        <v>123.6</v>
      </c>
      <c r="F3935" s="8"/>
    </row>
    <row r="3936" spans="1:6" ht="18" customHeight="1">
      <c r="A3936" s="4" t="s">
        <v>135</v>
      </c>
      <c r="B3936" s="4" t="str">
        <f>"2020032329"</f>
        <v>2020032329</v>
      </c>
      <c r="C3936" s="5">
        <v>60.5</v>
      </c>
      <c r="D3936" s="6">
        <v>63</v>
      </c>
      <c r="E3936" s="7">
        <f t="shared" si="61"/>
        <v>123.5</v>
      </c>
      <c r="F3936" s="8"/>
    </row>
    <row r="3937" spans="1:6" ht="18" customHeight="1">
      <c r="A3937" s="4" t="s">
        <v>135</v>
      </c>
      <c r="B3937" s="4" t="str">
        <f>"2020033409"</f>
        <v>2020033409</v>
      </c>
      <c r="C3937" s="5">
        <v>60</v>
      </c>
      <c r="D3937" s="6">
        <v>63.5</v>
      </c>
      <c r="E3937" s="7">
        <f t="shared" si="61"/>
        <v>123.5</v>
      </c>
      <c r="F3937" s="8"/>
    </row>
    <row r="3938" spans="1:6" ht="18" customHeight="1">
      <c r="A3938" s="4" t="s">
        <v>135</v>
      </c>
      <c r="B3938" s="4" t="str">
        <f>"2020033621"</f>
        <v>2020033621</v>
      </c>
      <c r="C3938" s="5">
        <v>63.5</v>
      </c>
      <c r="D3938" s="6">
        <v>59.5</v>
      </c>
      <c r="E3938" s="7">
        <f t="shared" si="61"/>
        <v>123</v>
      </c>
      <c r="F3938" s="8"/>
    </row>
    <row r="3939" spans="1:6" ht="18" customHeight="1">
      <c r="A3939" s="4" t="s">
        <v>135</v>
      </c>
      <c r="B3939" s="4" t="str">
        <f>"2020043219"</f>
        <v>2020043219</v>
      </c>
      <c r="C3939" s="5">
        <v>58.9</v>
      </c>
      <c r="D3939" s="6">
        <v>64</v>
      </c>
      <c r="E3939" s="7">
        <f t="shared" si="61"/>
        <v>122.9</v>
      </c>
      <c r="F3939" s="8"/>
    </row>
    <row r="3940" spans="1:6" ht="18" customHeight="1">
      <c r="A3940" s="4" t="s">
        <v>135</v>
      </c>
      <c r="B3940" s="4" t="str">
        <f>"2020043908"</f>
        <v>2020043908</v>
      </c>
      <c r="C3940" s="5">
        <v>58.9</v>
      </c>
      <c r="D3940" s="6">
        <v>64</v>
      </c>
      <c r="E3940" s="7">
        <f t="shared" si="61"/>
        <v>122.9</v>
      </c>
      <c r="F3940" s="8"/>
    </row>
    <row r="3941" spans="1:6" ht="18" customHeight="1">
      <c r="A3941" s="4" t="s">
        <v>135</v>
      </c>
      <c r="B3941" s="4" t="str">
        <f>"2020040204"</f>
        <v>2020040204</v>
      </c>
      <c r="C3941" s="5">
        <v>66.8</v>
      </c>
      <c r="D3941" s="6">
        <v>56</v>
      </c>
      <c r="E3941" s="7">
        <f t="shared" si="61"/>
        <v>122.8</v>
      </c>
      <c r="F3941" s="8"/>
    </row>
    <row r="3942" spans="1:6" ht="18" customHeight="1">
      <c r="A3942" s="4" t="s">
        <v>135</v>
      </c>
      <c r="B3942" s="4" t="str">
        <f>"2020045315"</f>
        <v>2020045315</v>
      </c>
      <c r="C3942" s="5">
        <v>62.3</v>
      </c>
      <c r="D3942" s="6">
        <v>60.5</v>
      </c>
      <c r="E3942" s="7">
        <f t="shared" si="61"/>
        <v>122.8</v>
      </c>
      <c r="F3942" s="8"/>
    </row>
    <row r="3943" spans="1:6" ht="18" customHeight="1">
      <c r="A3943" s="4" t="s">
        <v>135</v>
      </c>
      <c r="B3943" s="4" t="str">
        <f>"2020012715"</f>
        <v>2020012715</v>
      </c>
      <c r="C3943" s="5">
        <v>64.599999999999994</v>
      </c>
      <c r="D3943" s="6">
        <v>58</v>
      </c>
      <c r="E3943" s="7">
        <f t="shared" si="61"/>
        <v>122.6</v>
      </c>
      <c r="F3943" s="8"/>
    </row>
    <row r="3944" spans="1:6" ht="18" customHeight="1">
      <c r="A3944" s="4" t="s">
        <v>135</v>
      </c>
      <c r="B3944" s="4" t="str">
        <f>"2020030903"</f>
        <v>2020030903</v>
      </c>
      <c r="C3944" s="5">
        <v>67.400000000000006</v>
      </c>
      <c r="D3944" s="6">
        <v>55</v>
      </c>
      <c r="E3944" s="7">
        <f t="shared" si="61"/>
        <v>122.4</v>
      </c>
      <c r="F3944" s="8"/>
    </row>
    <row r="3945" spans="1:6" ht="18" customHeight="1">
      <c r="A3945" s="4" t="s">
        <v>135</v>
      </c>
      <c r="B3945" s="4" t="str">
        <f>"2020031328"</f>
        <v>2020031328</v>
      </c>
      <c r="C3945" s="5">
        <v>62.7</v>
      </c>
      <c r="D3945" s="6">
        <v>59.5</v>
      </c>
      <c r="E3945" s="7">
        <f t="shared" si="61"/>
        <v>122.2</v>
      </c>
      <c r="F3945" s="8"/>
    </row>
    <row r="3946" spans="1:6" ht="18" customHeight="1">
      <c r="A3946" s="4" t="s">
        <v>135</v>
      </c>
      <c r="B3946" s="4" t="str">
        <f>"2020043328"</f>
        <v>2020043328</v>
      </c>
      <c r="C3946" s="5">
        <v>60.6</v>
      </c>
      <c r="D3946" s="6">
        <v>61.5</v>
      </c>
      <c r="E3946" s="7">
        <f t="shared" si="61"/>
        <v>122.1</v>
      </c>
      <c r="F3946" s="8"/>
    </row>
    <row r="3947" spans="1:6" ht="18" customHeight="1">
      <c r="A3947" s="4" t="s">
        <v>135</v>
      </c>
      <c r="B3947" s="4" t="str">
        <f>"2020033304"</f>
        <v>2020033304</v>
      </c>
      <c r="C3947" s="5">
        <v>65.900000000000006</v>
      </c>
      <c r="D3947" s="6">
        <v>56</v>
      </c>
      <c r="E3947" s="7">
        <f t="shared" si="61"/>
        <v>121.9</v>
      </c>
      <c r="F3947" s="8"/>
    </row>
    <row r="3948" spans="1:6" ht="18" customHeight="1">
      <c r="A3948" s="4" t="s">
        <v>135</v>
      </c>
      <c r="B3948" s="4" t="str">
        <f>"2020041725"</f>
        <v>2020041725</v>
      </c>
      <c r="C3948" s="5">
        <v>68.599999999999994</v>
      </c>
      <c r="D3948" s="6">
        <v>53</v>
      </c>
      <c r="E3948" s="7">
        <f t="shared" si="61"/>
        <v>121.6</v>
      </c>
      <c r="F3948" s="8"/>
    </row>
    <row r="3949" spans="1:6" ht="18" customHeight="1">
      <c r="A3949" s="4" t="s">
        <v>135</v>
      </c>
      <c r="B3949" s="4" t="str">
        <f>"2020033821"</f>
        <v>2020033821</v>
      </c>
      <c r="C3949" s="5">
        <v>58</v>
      </c>
      <c r="D3949" s="6">
        <v>63.5</v>
      </c>
      <c r="E3949" s="7">
        <f t="shared" si="61"/>
        <v>121.5</v>
      </c>
      <c r="F3949" s="8"/>
    </row>
    <row r="3950" spans="1:6" ht="18" customHeight="1">
      <c r="A3950" s="4" t="s">
        <v>135</v>
      </c>
      <c r="B3950" s="4" t="str">
        <f>"2020034029"</f>
        <v>2020034029</v>
      </c>
      <c r="C3950" s="5">
        <v>61</v>
      </c>
      <c r="D3950" s="6">
        <v>60</v>
      </c>
      <c r="E3950" s="7">
        <f t="shared" si="61"/>
        <v>121</v>
      </c>
      <c r="F3950" s="8"/>
    </row>
    <row r="3951" spans="1:6" ht="18" customHeight="1">
      <c r="A3951" s="4" t="s">
        <v>135</v>
      </c>
      <c r="B3951" s="4" t="str">
        <f>"2020041927"</f>
        <v>2020041927</v>
      </c>
      <c r="C3951" s="5">
        <v>64.7</v>
      </c>
      <c r="D3951" s="6">
        <v>56</v>
      </c>
      <c r="E3951" s="7">
        <f t="shared" si="61"/>
        <v>120.7</v>
      </c>
      <c r="F3951" s="8"/>
    </row>
    <row r="3952" spans="1:6" ht="18" customHeight="1">
      <c r="A3952" s="4" t="s">
        <v>135</v>
      </c>
      <c r="B3952" s="4" t="str">
        <f>"2020024611"</f>
        <v>2020024611</v>
      </c>
      <c r="C3952" s="5">
        <v>63.1</v>
      </c>
      <c r="D3952" s="6">
        <v>57.5</v>
      </c>
      <c r="E3952" s="7">
        <f t="shared" si="61"/>
        <v>120.6</v>
      </c>
      <c r="F3952" s="8"/>
    </row>
    <row r="3953" spans="1:6" ht="18" customHeight="1">
      <c r="A3953" s="4" t="s">
        <v>135</v>
      </c>
      <c r="B3953" s="4" t="str">
        <f>"2020044507"</f>
        <v>2020044507</v>
      </c>
      <c r="C3953" s="5">
        <v>67.3</v>
      </c>
      <c r="D3953" s="6">
        <v>53</v>
      </c>
      <c r="E3953" s="7">
        <f t="shared" si="61"/>
        <v>120.3</v>
      </c>
      <c r="F3953" s="8"/>
    </row>
    <row r="3954" spans="1:6" ht="18" customHeight="1">
      <c r="A3954" s="4" t="s">
        <v>135</v>
      </c>
      <c r="B3954" s="4" t="str">
        <f>"2020043523"</f>
        <v>2020043523</v>
      </c>
      <c r="C3954" s="5">
        <v>61.8</v>
      </c>
      <c r="D3954" s="6">
        <v>58.5</v>
      </c>
      <c r="E3954" s="7">
        <f t="shared" si="61"/>
        <v>120.3</v>
      </c>
      <c r="F3954" s="8"/>
    </row>
    <row r="3955" spans="1:6" ht="18" customHeight="1">
      <c r="A3955" s="4" t="s">
        <v>135</v>
      </c>
      <c r="B3955" s="4" t="str">
        <f>"2020040630"</f>
        <v>2020040630</v>
      </c>
      <c r="C3955" s="5">
        <v>60.3</v>
      </c>
      <c r="D3955" s="6">
        <v>60</v>
      </c>
      <c r="E3955" s="7">
        <f t="shared" si="61"/>
        <v>120.3</v>
      </c>
      <c r="F3955" s="8"/>
    </row>
    <row r="3956" spans="1:6" ht="18" customHeight="1">
      <c r="A3956" s="4" t="s">
        <v>135</v>
      </c>
      <c r="B3956" s="4" t="str">
        <f>"2020011928"</f>
        <v>2020011928</v>
      </c>
      <c r="C3956" s="5">
        <v>67.599999999999994</v>
      </c>
      <c r="D3956" s="6">
        <v>52.5</v>
      </c>
      <c r="E3956" s="7">
        <f t="shared" si="61"/>
        <v>120.1</v>
      </c>
      <c r="F3956" s="8"/>
    </row>
    <row r="3957" spans="1:6" ht="18" customHeight="1">
      <c r="A3957" s="4" t="s">
        <v>135</v>
      </c>
      <c r="B3957" s="4" t="str">
        <f>"2020012301"</f>
        <v>2020012301</v>
      </c>
      <c r="C3957" s="5">
        <v>64.599999999999994</v>
      </c>
      <c r="D3957" s="6">
        <v>55.5</v>
      </c>
      <c r="E3957" s="7">
        <f t="shared" si="61"/>
        <v>120.1</v>
      </c>
      <c r="F3957" s="8"/>
    </row>
    <row r="3958" spans="1:6" ht="18" customHeight="1">
      <c r="A3958" s="4" t="s">
        <v>135</v>
      </c>
      <c r="B3958" s="4" t="str">
        <f>"2020044304"</f>
        <v>2020044304</v>
      </c>
      <c r="C3958" s="5">
        <v>68</v>
      </c>
      <c r="D3958" s="6">
        <v>52</v>
      </c>
      <c r="E3958" s="7">
        <f t="shared" si="61"/>
        <v>120</v>
      </c>
      <c r="F3958" s="8"/>
    </row>
    <row r="3959" spans="1:6" ht="18" customHeight="1">
      <c r="A3959" s="4" t="s">
        <v>135</v>
      </c>
      <c r="B3959" s="4" t="str">
        <f>"2020031920"</f>
        <v>2020031920</v>
      </c>
      <c r="C3959" s="5">
        <v>61</v>
      </c>
      <c r="D3959" s="6">
        <v>59</v>
      </c>
      <c r="E3959" s="7">
        <f t="shared" si="61"/>
        <v>120</v>
      </c>
      <c r="F3959" s="8"/>
    </row>
    <row r="3960" spans="1:6" ht="18" customHeight="1">
      <c r="A3960" s="4" t="s">
        <v>135</v>
      </c>
      <c r="B3960" s="4" t="str">
        <f>"2020013429"</f>
        <v>2020013429</v>
      </c>
      <c r="C3960" s="5">
        <v>65.900000000000006</v>
      </c>
      <c r="D3960" s="6">
        <v>54</v>
      </c>
      <c r="E3960" s="7">
        <f t="shared" si="61"/>
        <v>119.9</v>
      </c>
      <c r="F3960" s="8"/>
    </row>
    <row r="3961" spans="1:6" ht="18" customHeight="1">
      <c r="A3961" s="4" t="s">
        <v>135</v>
      </c>
      <c r="B3961" s="4" t="str">
        <f>"2020047614"</f>
        <v>2020047614</v>
      </c>
      <c r="C3961" s="5">
        <v>64.2</v>
      </c>
      <c r="D3961" s="6">
        <v>55.5</v>
      </c>
      <c r="E3961" s="7">
        <f t="shared" si="61"/>
        <v>119.7</v>
      </c>
      <c r="F3961" s="8"/>
    </row>
    <row r="3962" spans="1:6" ht="18" customHeight="1">
      <c r="A3962" s="4" t="s">
        <v>135</v>
      </c>
      <c r="B3962" s="4" t="str">
        <f>"2020022421"</f>
        <v>2020022421</v>
      </c>
      <c r="C3962" s="5">
        <v>67.599999999999994</v>
      </c>
      <c r="D3962" s="6">
        <v>52</v>
      </c>
      <c r="E3962" s="7">
        <f t="shared" si="61"/>
        <v>119.6</v>
      </c>
      <c r="F3962" s="8"/>
    </row>
    <row r="3963" spans="1:6" ht="18" customHeight="1">
      <c r="A3963" s="4" t="s">
        <v>135</v>
      </c>
      <c r="B3963" s="4" t="str">
        <f>"2020033713"</f>
        <v>2020033713</v>
      </c>
      <c r="C3963" s="5">
        <v>61.4</v>
      </c>
      <c r="D3963" s="6">
        <v>58</v>
      </c>
      <c r="E3963" s="7">
        <f t="shared" si="61"/>
        <v>119.4</v>
      </c>
      <c r="F3963" s="8"/>
    </row>
    <row r="3964" spans="1:6" ht="18" customHeight="1">
      <c r="A3964" s="4" t="s">
        <v>135</v>
      </c>
      <c r="B3964" s="4" t="str">
        <f>"2020042624"</f>
        <v>2020042624</v>
      </c>
      <c r="C3964" s="5">
        <v>62.3</v>
      </c>
      <c r="D3964" s="6">
        <v>57</v>
      </c>
      <c r="E3964" s="7">
        <f t="shared" si="61"/>
        <v>119.3</v>
      </c>
      <c r="F3964" s="8"/>
    </row>
    <row r="3965" spans="1:6" ht="18" customHeight="1">
      <c r="A3965" s="4" t="s">
        <v>135</v>
      </c>
      <c r="B3965" s="4" t="str">
        <f>"2020011224"</f>
        <v>2020011224</v>
      </c>
      <c r="C3965" s="5">
        <v>59.9</v>
      </c>
      <c r="D3965" s="6">
        <v>59</v>
      </c>
      <c r="E3965" s="7">
        <f t="shared" si="61"/>
        <v>118.9</v>
      </c>
      <c r="F3965" s="8"/>
    </row>
    <row r="3966" spans="1:6" ht="18" customHeight="1">
      <c r="A3966" s="4" t="s">
        <v>135</v>
      </c>
      <c r="B3966" s="4" t="str">
        <f>"2020033706"</f>
        <v>2020033706</v>
      </c>
      <c r="C3966" s="5">
        <v>65.7</v>
      </c>
      <c r="D3966" s="6">
        <v>53</v>
      </c>
      <c r="E3966" s="7">
        <f t="shared" si="61"/>
        <v>118.7</v>
      </c>
      <c r="F3966" s="8"/>
    </row>
    <row r="3967" spans="1:6" ht="18" customHeight="1">
      <c r="A3967" s="4" t="s">
        <v>135</v>
      </c>
      <c r="B3967" s="4" t="str">
        <f>"2020040218"</f>
        <v>2020040218</v>
      </c>
      <c r="C3967" s="5">
        <v>64.5</v>
      </c>
      <c r="D3967" s="6">
        <v>54</v>
      </c>
      <c r="E3967" s="7">
        <f t="shared" si="61"/>
        <v>118.5</v>
      </c>
      <c r="F3967" s="8"/>
    </row>
    <row r="3968" spans="1:6" ht="18" customHeight="1">
      <c r="A3968" s="4" t="s">
        <v>135</v>
      </c>
      <c r="B3968" s="4" t="str">
        <f>"2020023301"</f>
        <v>2020023301</v>
      </c>
      <c r="C3968" s="5">
        <v>63.8</v>
      </c>
      <c r="D3968" s="6">
        <v>54.5</v>
      </c>
      <c r="E3968" s="7">
        <f t="shared" si="61"/>
        <v>118.3</v>
      </c>
      <c r="F3968" s="8"/>
    </row>
    <row r="3969" spans="1:6" ht="18" customHeight="1">
      <c r="A3969" s="4" t="s">
        <v>135</v>
      </c>
      <c r="B3969" s="4" t="str">
        <f>"2020033203"</f>
        <v>2020033203</v>
      </c>
      <c r="C3969" s="5">
        <v>66.2</v>
      </c>
      <c r="D3969" s="6">
        <v>52</v>
      </c>
      <c r="E3969" s="7">
        <f t="shared" si="61"/>
        <v>118.2</v>
      </c>
      <c r="F3969" s="8"/>
    </row>
    <row r="3970" spans="1:6" ht="18" customHeight="1">
      <c r="A3970" s="4" t="s">
        <v>135</v>
      </c>
      <c r="B3970" s="4" t="str">
        <f>"2020012605"</f>
        <v>2020012605</v>
      </c>
      <c r="C3970" s="5">
        <v>65.599999999999994</v>
      </c>
      <c r="D3970" s="6">
        <v>52.5</v>
      </c>
      <c r="E3970" s="7">
        <f t="shared" si="61"/>
        <v>118.1</v>
      </c>
      <c r="F3970" s="8"/>
    </row>
    <row r="3971" spans="1:6" ht="18" customHeight="1">
      <c r="A3971" s="4" t="s">
        <v>135</v>
      </c>
      <c r="B3971" s="4" t="str">
        <f>"2020021625"</f>
        <v>2020021625</v>
      </c>
      <c r="C3971" s="5">
        <v>61.1</v>
      </c>
      <c r="D3971" s="6">
        <v>57</v>
      </c>
      <c r="E3971" s="7">
        <f t="shared" ref="E3971:E4034" si="62">SUM(C3971:D3971)</f>
        <v>118.1</v>
      </c>
      <c r="F3971" s="8"/>
    </row>
    <row r="3972" spans="1:6" ht="18" customHeight="1">
      <c r="A3972" s="4" t="s">
        <v>135</v>
      </c>
      <c r="B3972" s="4" t="str">
        <f>"2020024714"</f>
        <v>2020024714</v>
      </c>
      <c r="C3972" s="5">
        <v>64.2</v>
      </c>
      <c r="D3972" s="6">
        <v>53.5</v>
      </c>
      <c r="E3972" s="7">
        <f t="shared" si="62"/>
        <v>117.7</v>
      </c>
      <c r="F3972" s="8"/>
    </row>
    <row r="3973" spans="1:6" ht="18" customHeight="1">
      <c r="A3973" s="4" t="s">
        <v>135</v>
      </c>
      <c r="B3973" s="4" t="str">
        <f>"2020013915"</f>
        <v>2020013915</v>
      </c>
      <c r="C3973" s="5">
        <v>65.099999999999994</v>
      </c>
      <c r="D3973" s="6">
        <v>52.5</v>
      </c>
      <c r="E3973" s="7">
        <f t="shared" si="62"/>
        <v>117.6</v>
      </c>
      <c r="F3973" s="8"/>
    </row>
    <row r="3974" spans="1:6" ht="18" customHeight="1">
      <c r="A3974" s="4" t="s">
        <v>135</v>
      </c>
      <c r="B3974" s="4" t="str">
        <f>"2020012511"</f>
        <v>2020012511</v>
      </c>
      <c r="C3974" s="5">
        <v>56.5</v>
      </c>
      <c r="D3974" s="6">
        <v>61</v>
      </c>
      <c r="E3974" s="7">
        <f t="shared" si="62"/>
        <v>117.5</v>
      </c>
      <c r="F3974" s="8"/>
    </row>
    <row r="3975" spans="1:6" ht="18" customHeight="1">
      <c r="A3975" s="4" t="s">
        <v>135</v>
      </c>
      <c r="B3975" s="4" t="str">
        <f>"2020044903"</f>
        <v>2020044903</v>
      </c>
      <c r="C3975" s="5">
        <v>58.9</v>
      </c>
      <c r="D3975" s="6">
        <v>58.5</v>
      </c>
      <c r="E3975" s="7">
        <f t="shared" si="62"/>
        <v>117.4</v>
      </c>
      <c r="F3975" s="8"/>
    </row>
    <row r="3976" spans="1:6" ht="18" customHeight="1">
      <c r="A3976" s="4" t="s">
        <v>135</v>
      </c>
      <c r="B3976" s="4" t="str">
        <f>"2020024326"</f>
        <v>2020024326</v>
      </c>
      <c r="C3976" s="5">
        <v>62.8</v>
      </c>
      <c r="D3976" s="6">
        <v>54.5</v>
      </c>
      <c r="E3976" s="7">
        <f t="shared" si="62"/>
        <v>117.3</v>
      </c>
      <c r="F3976" s="8"/>
    </row>
    <row r="3977" spans="1:6" ht="18" customHeight="1">
      <c r="A3977" s="4" t="s">
        <v>135</v>
      </c>
      <c r="B3977" s="4" t="str">
        <f>"2020041001"</f>
        <v>2020041001</v>
      </c>
      <c r="C3977" s="5">
        <v>59</v>
      </c>
      <c r="D3977" s="6">
        <v>58</v>
      </c>
      <c r="E3977" s="7">
        <f t="shared" si="62"/>
        <v>117</v>
      </c>
      <c r="F3977" s="8"/>
    </row>
    <row r="3978" spans="1:6" ht="18" customHeight="1">
      <c r="A3978" s="4" t="s">
        <v>135</v>
      </c>
      <c r="B3978" s="4" t="str">
        <f>"2020030519"</f>
        <v>2020030519</v>
      </c>
      <c r="C3978" s="5">
        <v>57.7</v>
      </c>
      <c r="D3978" s="6">
        <v>59</v>
      </c>
      <c r="E3978" s="7">
        <f t="shared" si="62"/>
        <v>116.7</v>
      </c>
      <c r="F3978" s="8"/>
    </row>
    <row r="3979" spans="1:6" ht="18" customHeight="1">
      <c r="A3979" s="4" t="s">
        <v>135</v>
      </c>
      <c r="B3979" s="4" t="str">
        <f>"2020044019"</f>
        <v>2020044019</v>
      </c>
      <c r="C3979" s="5">
        <v>56.7</v>
      </c>
      <c r="D3979" s="6">
        <v>60</v>
      </c>
      <c r="E3979" s="7">
        <f t="shared" si="62"/>
        <v>116.7</v>
      </c>
      <c r="F3979" s="8"/>
    </row>
    <row r="3980" spans="1:6" ht="18" customHeight="1">
      <c r="A3980" s="4" t="s">
        <v>135</v>
      </c>
      <c r="B3980" s="4" t="str">
        <f>"2020043915"</f>
        <v>2020043915</v>
      </c>
      <c r="C3980" s="5">
        <v>59.5</v>
      </c>
      <c r="D3980" s="6">
        <v>56.5</v>
      </c>
      <c r="E3980" s="7">
        <f t="shared" si="62"/>
        <v>116</v>
      </c>
      <c r="F3980" s="8"/>
    </row>
    <row r="3981" spans="1:6" ht="18" customHeight="1">
      <c r="A3981" s="4" t="s">
        <v>135</v>
      </c>
      <c r="B3981" s="4" t="str">
        <f>"2020034023"</f>
        <v>2020034023</v>
      </c>
      <c r="C3981" s="5">
        <v>63.4</v>
      </c>
      <c r="D3981" s="6">
        <v>52.5</v>
      </c>
      <c r="E3981" s="7">
        <f t="shared" si="62"/>
        <v>115.9</v>
      </c>
      <c r="F3981" s="8"/>
    </row>
    <row r="3982" spans="1:6" ht="18" customHeight="1">
      <c r="A3982" s="4" t="s">
        <v>135</v>
      </c>
      <c r="B3982" s="4" t="str">
        <f>"2020042211"</f>
        <v>2020042211</v>
      </c>
      <c r="C3982" s="5">
        <v>61.2</v>
      </c>
      <c r="D3982" s="6">
        <v>54.5</v>
      </c>
      <c r="E3982" s="7">
        <f t="shared" si="62"/>
        <v>115.7</v>
      </c>
      <c r="F3982" s="8"/>
    </row>
    <row r="3983" spans="1:6" ht="18" customHeight="1">
      <c r="A3983" s="4" t="s">
        <v>135</v>
      </c>
      <c r="B3983" s="4" t="str">
        <f>"2020031021"</f>
        <v>2020031021</v>
      </c>
      <c r="C3983" s="5">
        <v>60.4</v>
      </c>
      <c r="D3983" s="6">
        <v>55</v>
      </c>
      <c r="E3983" s="7">
        <f t="shared" si="62"/>
        <v>115.4</v>
      </c>
      <c r="F3983" s="8"/>
    </row>
    <row r="3984" spans="1:6" ht="18" customHeight="1">
      <c r="A3984" s="4" t="s">
        <v>135</v>
      </c>
      <c r="B3984" s="4" t="str">
        <f>"2020023426"</f>
        <v>2020023426</v>
      </c>
      <c r="C3984" s="5">
        <v>63.7</v>
      </c>
      <c r="D3984" s="6">
        <v>51.5</v>
      </c>
      <c r="E3984" s="7">
        <f t="shared" si="62"/>
        <v>115.2</v>
      </c>
      <c r="F3984" s="8"/>
    </row>
    <row r="3985" spans="1:6" ht="18" customHeight="1">
      <c r="A3985" s="4" t="s">
        <v>135</v>
      </c>
      <c r="B3985" s="4" t="str">
        <f>"2020041709"</f>
        <v>2020041709</v>
      </c>
      <c r="C3985" s="5">
        <v>63.9</v>
      </c>
      <c r="D3985" s="6">
        <v>51</v>
      </c>
      <c r="E3985" s="7">
        <f t="shared" si="62"/>
        <v>114.9</v>
      </c>
      <c r="F3985" s="8"/>
    </row>
    <row r="3986" spans="1:6" ht="18" customHeight="1">
      <c r="A3986" s="4" t="s">
        <v>135</v>
      </c>
      <c r="B3986" s="4" t="str">
        <f>"2020022512"</f>
        <v>2020022512</v>
      </c>
      <c r="C3986" s="5">
        <v>62.9</v>
      </c>
      <c r="D3986" s="6">
        <v>52</v>
      </c>
      <c r="E3986" s="7">
        <f t="shared" si="62"/>
        <v>114.9</v>
      </c>
      <c r="F3986" s="8"/>
    </row>
    <row r="3987" spans="1:6" ht="18" customHeight="1">
      <c r="A3987" s="4" t="s">
        <v>135</v>
      </c>
      <c r="B3987" s="4" t="str">
        <f>"2020030801"</f>
        <v>2020030801</v>
      </c>
      <c r="C3987" s="5">
        <v>57.3</v>
      </c>
      <c r="D3987" s="6">
        <v>57.5</v>
      </c>
      <c r="E3987" s="7">
        <f t="shared" si="62"/>
        <v>114.8</v>
      </c>
      <c r="F3987" s="8"/>
    </row>
    <row r="3988" spans="1:6" ht="18" customHeight="1">
      <c r="A3988" s="4" t="s">
        <v>135</v>
      </c>
      <c r="B3988" s="4" t="str">
        <f>"2020042201"</f>
        <v>2020042201</v>
      </c>
      <c r="C3988" s="5">
        <v>61.1</v>
      </c>
      <c r="D3988" s="6">
        <v>53.5</v>
      </c>
      <c r="E3988" s="7">
        <f t="shared" si="62"/>
        <v>114.6</v>
      </c>
      <c r="F3988" s="8"/>
    </row>
    <row r="3989" spans="1:6" ht="18" customHeight="1">
      <c r="A3989" s="4" t="s">
        <v>135</v>
      </c>
      <c r="B3989" s="4" t="str">
        <f>"2020012011"</f>
        <v>2020012011</v>
      </c>
      <c r="C3989" s="5">
        <v>56.4</v>
      </c>
      <c r="D3989" s="6">
        <v>58</v>
      </c>
      <c r="E3989" s="7">
        <f t="shared" si="62"/>
        <v>114.4</v>
      </c>
      <c r="F3989" s="8"/>
    </row>
    <row r="3990" spans="1:6" ht="18" customHeight="1">
      <c r="A3990" s="4" t="s">
        <v>135</v>
      </c>
      <c r="B3990" s="4" t="str">
        <f>"2020022021"</f>
        <v>2020022021</v>
      </c>
      <c r="C3990" s="5">
        <v>61.2</v>
      </c>
      <c r="D3990" s="6">
        <v>53</v>
      </c>
      <c r="E3990" s="7">
        <f t="shared" si="62"/>
        <v>114.2</v>
      </c>
      <c r="F3990" s="8"/>
    </row>
    <row r="3991" spans="1:6" ht="18" customHeight="1">
      <c r="A3991" s="4" t="s">
        <v>135</v>
      </c>
      <c r="B3991" s="4" t="str">
        <f>"2020042623"</f>
        <v>2020042623</v>
      </c>
      <c r="C3991" s="5">
        <v>60.2</v>
      </c>
      <c r="D3991" s="6">
        <v>54</v>
      </c>
      <c r="E3991" s="7">
        <f t="shared" si="62"/>
        <v>114.2</v>
      </c>
      <c r="F3991" s="8"/>
    </row>
    <row r="3992" spans="1:6" ht="18" customHeight="1">
      <c r="A3992" s="4" t="s">
        <v>135</v>
      </c>
      <c r="B3992" s="4" t="str">
        <f>"2020011925"</f>
        <v>2020011925</v>
      </c>
      <c r="C3992" s="5">
        <v>52.6</v>
      </c>
      <c r="D3992" s="6">
        <v>61.5</v>
      </c>
      <c r="E3992" s="7">
        <f t="shared" si="62"/>
        <v>114.1</v>
      </c>
      <c r="F3992" s="8"/>
    </row>
    <row r="3993" spans="1:6" ht="18" customHeight="1">
      <c r="A3993" s="4" t="s">
        <v>135</v>
      </c>
      <c r="B3993" s="4" t="str">
        <f>"2020032607"</f>
        <v>2020032607</v>
      </c>
      <c r="C3993" s="5">
        <v>60.6</v>
      </c>
      <c r="D3993" s="6">
        <v>53</v>
      </c>
      <c r="E3993" s="7">
        <f t="shared" si="62"/>
        <v>113.6</v>
      </c>
      <c r="F3993" s="8"/>
    </row>
    <row r="3994" spans="1:6" ht="18" customHeight="1">
      <c r="A3994" s="4" t="s">
        <v>135</v>
      </c>
      <c r="B3994" s="4" t="str">
        <f>"2020021729"</f>
        <v>2020021729</v>
      </c>
      <c r="C3994" s="5">
        <v>62.9</v>
      </c>
      <c r="D3994" s="6">
        <v>50.5</v>
      </c>
      <c r="E3994" s="7">
        <f t="shared" si="62"/>
        <v>113.4</v>
      </c>
      <c r="F3994" s="8"/>
    </row>
    <row r="3995" spans="1:6" ht="18" customHeight="1">
      <c r="A3995" s="4" t="s">
        <v>135</v>
      </c>
      <c r="B3995" s="4" t="str">
        <f>"2020042520"</f>
        <v>2020042520</v>
      </c>
      <c r="C3995" s="5">
        <v>58.4</v>
      </c>
      <c r="D3995" s="6">
        <v>55</v>
      </c>
      <c r="E3995" s="7">
        <f t="shared" si="62"/>
        <v>113.4</v>
      </c>
      <c r="F3995" s="8"/>
    </row>
    <row r="3996" spans="1:6" ht="18" customHeight="1">
      <c r="A3996" s="4" t="s">
        <v>135</v>
      </c>
      <c r="B3996" s="4" t="str">
        <f>"2020014014"</f>
        <v>2020014014</v>
      </c>
      <c r="C3996" s="5">
        <v>59.7</v>
      </c>
      <c r="D3996" s="6">
        <v>53.5</v>
      </c>
      <c r="E3996" s="7">
        <f t="shared" si="62"/>
        <v>113.2</v>
      </c>
      <c r="F3996" s="8"/>
    </row>
    <row r="3997" spans="1:6" ht="18" customHeight="1">
      <c r="A3997" s="4" t="s">
        <v>135</v>
      </c>
      <c r="B3997" s="4" t="str">
        <f>"2020031415"</f>
        <v>2020031415</v>
      </c>
      <c r="C3997" s="5">
        <v>58.2</v>
      </c>
      <c r="D3997" s="6">
        <v>55</v>
      </c>
      <c r="E3997" s="7">
        <f t="shared" si="62"/>
        <v>113.2</v>
      </c>
      <c r="F3997" s="8"/>
    </row>
    <row r="3998" spans="1:6" ht="18" customHeight="1">
      <c r="A3998" s="4" t="s">
        <v>135</v>
      </c>
      <c r="B3998" s="4" t="str">
        <f>"2020012725"</f>
        <v>2020012725</v>
      </c>
      <c r="C3998" s="5">
        <v>55.3</v>
      </c>
      <c r="D3998" s="6">
        <v>57.5</v>
      </c>
      <c r="E3998" s="7">
        <f t="shared" si="62"/>
        <v>112.8</v>
      </c>
      <c r="F3998" s="8"/>
    </row>
    <row r="3999" spans="1:6" ht="18" customHeight="1">
      <c r="A3999" s="4" t="s">
        <v>135</v>
      </c>
      <c r="B3999" s="4" t="str">
        <f>"2020031107"</f>
        <v>2020031107</v>
      </c>
      <c r="C3999" s="5">
        <v>63.7</v>
      </c>
      <c r="D3999" s="6">
        <v>49</v>
      </c>
      <c r="E3999" s="7">
        <f t="shared" si="62"/>
        <v>112.7</v>
      </c>
      <c r="F3999" s="8"/>
    </row>
    <row r="4000" spans="1:6" ht="18" customHeight="1">
      <c r="A4000" s="4" t="s">
        <v>135</v>
      </c>
      <c r="B4000" s="4" t="str">
        <f>"2020033106"</f>
        <v>2020033106</v>
      </c>
      <c r="C4000" s="5">
        <v>52.2</v>
      </c>
      <c r="D4000" s="6">
        <v>60.5</v>
      </c>
      <c r="E4000" s="7">
        <f t="shared" si="62"/>
        <v>112.7</v>
      </c>
      <c r="F4000" s="8"/>
    </row>
    <row r="4001" spans="1:6" ht="18" customHeight="1">
      <c r="A4001" s="4" t="s">
        <v>135</v>
      </c>
      <c r="B4001" s="4" t="str">
        <f>"2020031022"</f>
        <v>2020031022</v>
      </c>
      <c r="C4001" s="5">
        <v>62.1</v>
      </c>
      <c r="D4001" s="6">
        <v>50</v>
      </c>
      <c r="E4001" s="7">
        <f t="shared" si="62"/>
        <v>112.1</v>
      </c>
      <c r="F4001" s="8"/>
    </row>
    <row r="4002" spans="1:6" ht="18" customHeight="1">
      <c r="A4002" s="4" t="s">
        <v>135</v>
      </c>
      <c r="B4002" s="4" t="str">
        <f>"2020031109"</f>
        <v>2020031109</v>
      </c>
      <c r="C4002" s="5">
        <v>61.8</v>
      </c>
      <c r="D4002" s="6">
        <v>50</v>
      </c>
      <c r="E4002" s="7">
        <f t="shared" si="62"/>
        <v>111.8</v>
      </c>
      <c r="F4002" s="8"/>
    </row>
    <row r="4003" spans="1:6" ht="18" customHeight="1">
      <c r="A4003" s="4" t="s">
        <v>135</v>
      </c>
      <c r="B4003" s="4" t="str">
        <f>"2020041506"</f>
        <v>2020041506</v>
      </c>
      <c r="C4003" s="5">
        <v>61.8</v>
      </c>
      <c r="D4003" s="6">
        <v>50</v>
      </c>
      <c r="E4003" s="7">
        <f t="shared" si="62"/>
        <v>111.8</v>
      </c>
      <c r="F4003" s="8"/>
    </row>
    <row r="4004" spans="1:6" ht="18" customHeight="1">
      <c r="A4004" s="4" t="s">
        <v>135</v>
      </c>
      <c r="B4004" s="4" t="str">
        <f>"2020041511"</f>
        <v>2020041511</v>
      </c>
      <c r="C4004" s="5">
        <v>58</v>
      </c>
      <c r="D4004" s="6">
        <v>53.5</v>
      </c>
      <c r="E4004" s="7">
        <f t="shared" si="62"/>
        <v>111.5</v>
      </c>
      <c r="F4004" s="8"/>
    </row>
    <row r="4005" spans="1:6" ht="18" customHeight="1">
      <c r="A4005" s="4" t="s">
        <v>135</v>
      </c>
      <c r="B4005" s="4" t="str">
        <f>"2020031129"</f>
        <v>2020031129</v>
      </c>
      <c r="C4005" s="5">
        <v>60.4</v>
      </c>
      <c r="D4005" s="6">
        <v>51</v>
      </c>
      <c r="E4005" s="7">
        <f t="shared" si="62"/>
        <v>111.4</v>
      </c>
      <c r="F4005" s="8"/>
    </row>
    <row r="4006" spans="1:6" ht="18" customHeight="1">
      <c r="A4006" s="4" t="s">
        <v>135</v>
      </c>
      <c r="B4006" s="4" t="str">
        <f>"2020040521"</f>
        <v>2020040521</v>
      </c>
      <c r="C4006" s="5">
        <v>59.7</v>
      </c>
      <c r="D4006" s="6">
        <v>51.5</v>
      </c>
      <c r="E4006" s="7">
        <f t="shared" si="62"/>
        <v>111.2</v>
      </c>
      <c r="F4006" s="8"/>
    </row>
    <row r="4007" spans="1:6" ht="18" customHeight="1">
      <c r="A4007" s="4" t="s">
        <v>135</v>
      </c>
      <c r="B4007" s="4" t="str">
        <f>"2020033815"</f>
        <v>2020033815</v>
      </c>
      <c r="C4007" s="5">
        <v>55.7</v>
      </c>
      <c r="D4007" s="6">
        <v>55.5</v>
      </c>
      <c r="E4007" s="7">
        <f t="shared" si="62"/>
        <v>111.2</v>
      </c>
      <c r="F4007" s="8"/>
    </row>
    <row r="4008" spans="1:6" ht="18" customHeight="1">
      <c r="A4008" s="4" t="s">
        <v>135</v>
      </c>
      <c r="B4008" s="4" t="str">
        <f>"2020040129"</f>
        <v>2020040129</v>
      </c>
      <c r="C4008" s="5">
        <v>62.6</v>
      </c>
      <c r="D4008" s="6">
        <v>48.5</v>
      </c>
      <c r="E4008" s="7">
        <f t="shared" si="62"/>
        <v>111.1</v>
      </c>
      <c r="F4008" s="8"/>
    </row>
    <row r="4009" spans="1:6" ht="18" customHeight="1">
      <c r="A4009" s="4" t="s">
        <v>135</v>
      </c>
      <c r="B4009" s="4" t="str">
        <f>"2020030718"</f>
        <v>2020030718</v>
      </c>
      <c r="C4009" s="5">
        <v>60.8</v>
      </c>
      <c r="D4009" s="6">
        <v>50</v>
      </c>
      <c r="E4009" s="7">
        <f t="shared" si="62"/>
        <v>110.8</v>
      </c>
      <c r="F4009" s="8"/>
    </row>
    <row r="4010" spans="1:6" ht="18" customHeight="1">
      <c r="A4010" s="4" t="s">
        <v>135</v>
      </c>
      <c r="B4010" s="4" t="str">
        <f>"2020022328"</f>
        <v>2020022328</v>
      </c>
      <c r="C4010" s="5">
        <v>57.7</v>
      </c>
      <c r="D4010" s="6">
        <v>53</v>
      </c>
      <c r="E4010" s="7">
        <f t="shared" si="62"/>
        <v>110.7</v>
      </c>
      <c r="F4010" s="8"/>
    </row>
    <row r="4011" spans="1:6" ht="18" customHeight="1">
      <c r="A4011" s="4" t="s">
        <v>135</v>
      </c>
      <c r="B4011" s="4" t="str">
        <f>"2020030708"</f>
        <v>2020030708</v>
      </c>
      <c r="C4011" s="5">
        <v>54.3</v>
      </c>
      <c r="D4011" s="6">
        <v>56</v>
      </c>
      <c r="E4011" s="7">
        <f t="shared" si="62"/>
        <v>110.3</v>
      </c>
      <c r="F4011" s="8"/>
    </row>
    <row r="4012" spans="1:6" ht="18" customHeight="1">
      <c r="A4012" s="4" t="s">
        <v>135</v>
      </c>
      <c r="B4012" s="4" t="str">
        <f>"2020011015"</f>
        <v>2020011015</v>
      </c>
      <c r="C4012" s="5">
        <v>51.8</v>
      </c>
      <c r="D4012" s="6">
        <v>58.5</v>
      </c>
      <c r="E4012" s="7">
        <f t="shared" si="62"/>
        <v>110.3</v>
      </c>
      <c r="F4012" s="8"/>
    </row>
    <row r="4013" spans="1:6" ht="18" customHeight="1">
      <c r="A4013" s="4" t="s">
        <v>135</v>
      </c>
      <c r="B4013" s="4" t="str">
        <f>"2020046611"</f>
        <v>2020046611</v>
      </c>
      <c r="C4013" s="5">
        <v>63.1</v>
      </c>
      <c r="D4013" s="6">
        <v>47</v>
      </c>
      <c r="E4013" s="7">
        <f t="shared" si="62"/>
        <v>110.1</v>
      </c>
      <c r="F4013" s="8"/>
    </row>
    <row r="4014" spans="1:6" ht="18" customHeight="1">
      <c r="A4014" s="4" t="s">
        <v>135</v>
      </c>
      <c r="B4014" s="4" t="str">
        <f>"2020030529"</f>
        <v>2020030529</v>
      </c>
      <c r="C4014" s="5">
        <v>61.5</v>
      </c>
      <c r="D4014" s="6">
        <v>48.5</v>
      </c>
      <c r="E4014" s="7">
        <f t="shared" si="62"/>
        <v>110</v>
      </c>
      <c r="F4014" s="8"/>
    </row>
    <row r="4015" spans="1:6" ht="18" customHeight="1">
      <c r="A4015" s="4" t="s">
        <v>135</v>
      </c>
      <c r="B4015" s="4" t="str">
        <f>"2020021806"</f>
        <v>2020021806</v>
      </c>
      <c r="C4015" s="5">
        <v>58.3</v>
      </c>
      <c r="D4015" s="6">
        <v>51.5</v>
      </c>
      <c r="E4015" s="7">
        <f t="shared" si="62"/>
        <v>109.8</v>
      </c>
      <c r="F4015" s="8"/>
    </row>
    <row r="4016" spans="1:6" ht="18" customHeight="1">
      <c r="A4016" s="4" t="s">
        <v>135</v>
      </c>
      <c r="B4016" s="4" t="str">
        <f>"2020033404"</f>
        <v>2020033404</v>
      </c>
      <c r="C4016" s="5">
        <v>60.7</v>
      </c>
      <c r="D4016" s="6">
        <v>49</v>
      </c>
      <c r="E4016" s="7">
        <f t="shared" si="62"/>
        <v>109.7</v>
      </c>
      <c r="F4016" s="8"/>
    </row>
    <row r="4017" spans="1:6" ht="18" customHeight="1">
      <c r="A4017" s="4" t="s">
        <v>135</v>
      </c>
      <c r="B4017" s="4" t="str">
        <f>"2020041621"</f>
        <v>2020041621</v>
      </c>
      <c r="C4017" s="5">
        <v>60.7</v>
      </c>
      <c r="D4017" s="6">
        <v>49</v>
      </c>
      <c r="E4017" s="7">
        <f t="shared" si="62"/>
        <v>109.7</v>
      </c>
      <c r="F4017" s="8"/>
    </row>
    <row r="4018" spans="1:6" ht="18" customHeight="1">
      <c r="A4018" s="4" t="s">
        <v>135</v>
      </c>
      <c r="B4018" s="4" t="str">
        <f>"2020032511"</f>
        <v>2020032511</v>
      </c>
      <c r="C4018" s="5">
        <v>58.7</v>
      </c>
      <c r="D4018" s="6">
        <v>51</v>
      </c>
      <c r="E4018" s="7">
        <f t="shared" si="62"/>
        <v>109.7</v>
      </c>
      <c r="F4018" s="8"/>
    </row>
    <row r="4019" spans="1:6" ht="18" customHeight="1">
      <c r="A4019" s="4" t="s">
        <v>135</v>
      </c>
      <c r="B4019" s="4" t="str">
        <f>"2020010207"</f>
        <v>2020010207</v>
      </c>
      <c r="C4019" s="5">
        <v>57.4</v>
      </c>
      <c r="D4019" s="6">
        <v>52</v>
      </c>
      <c r="E4019" s="7">
        <f t="shared" si="62"/>
        <v>109.4</v>
      </c>
      <c r="F4019" s="8"/>
    </row>
    <row r="4020" spans="1:6" ht="18" customHeight="1">
      <c r="A4020" s="4" t="s">
        <v>135</v>
      </c>
      <c r="B4020" s="4" t="str">
        <f>"2020045506"</f>
        <v>2020045506</v>
      </c>
      <c r="C4020" s="5">
        <v>59.2</v>
      </c>
      <c r="D4020" s="6">
        <v>50</v>
      </c>
      <c r="E4020" s="7">
        <f t="shared" si="62"/>
        <v>109.2</v>
      </c>
      <c r="F4020" s="8"/>
    </row>
    <row r="4021" spans="1:6" ht="18" customHeight="1">
      <c r="A4021" s="4" t="s">
        <v>135</v>
      </c>
      <c r="B4021" s="4" t="str">
        <f>"2020042018"</f>
        <v>2020042018</v>
      </c>
      <c r="C4021" s="5">
        <v>60</v>
      </c>
      <c r="D4021" s="6">
        <v>49</v>
      </c>
      <c r="E4021" s="7">
        <f t="shared" si="62"/>
        <v>109</v>
      </c>
      <c r="F4021" s="8"/>
    </row>
    <row r="4022" spans="1:6" ht="18" customHeight="1">
      <c r="A4022" s="4" t="s">
        <v>135</v>
      </c>
      <c r="B4022" s="4" t="str">
        <f>"2020032129"</f>
        <v>2020032129</v>
      </c>
      <c r="C4022" s="5">
        <v>54.8</v>
      </c>
      <c r="D4022" s="6">
        <v>54</v>
      </c>
      <c r="E4022" s="7">
        <f t="shared" si="62"/>
        <v>108.8</v>
      </c>
      <c r="F4022" s="8"/>
    </row>
    <row r="4023" spans="1:6" ht="18" customHeight="1">
      <c r="A4023" s="4" t="s">
        <v>135</v>
      </c>
      <c r="B4023" s="4" t="str">
        <f>"2020020107"</f>
        <v>2020020107</v>
      </c>
      <c r="C4023" s="5">
        <v>58.6</v>
      </c>
      <c r="D4023" s="6">
        <v>50</v>
      </c>
      <c r="E4023" s="7">
        <f t="shared" si="62"/>
        <v>108.6</v>
      </c>
      <c r="F4023" s="8"/>
    </row>
    <row r="4024" spans="1:6" ht="18" customHeight="1">
      <c r="A4024" s="4" t="s">
        <v>135</v>
      </c>
      <c r="B4024" s="4" t="str">
        <f>"2020012121"</f>
        <v>2020012121</v>
      </c>
      <c r="C4024" s="5">
        <v>54.1</v>
      </c>
      <c r="D4024" s="6">
        <v>54.5</v>
      </c>
      <c r="E4024" s="7">
        <f t="shared" si="62"/>
        <v>108.6</v>
      </c>
      <c r="F4024" s="8"/>
    </row>
    <row r="4025" spans="1:6" ht="18" customHeight="1">
      <c r="A4025" s="4" t="s">
        <v>135</v>
      </c>
      <c r="B4025" s="4" t="str">
        <f>"2020043504"</f>
        <v>2020043504</v>
      </c>
      <c r="C4025" s="5">
        <v>59</v>
      </c>
      <c r="D4025" s="6">
        <v>49.5</v>
      </c>
      <c r="E4025" s="7">
        <f t="shared" si="62"/>
        <v>108.5</v>
      </c>
      <c r="F4025" s="8"/>
    </row>
    <row r="4026" spans="1:6" ht="18" customHeight="1">
      <c r="A4026" s="4" t="s">
        <v>135</v>
      </c>
      <c r="B4026" s="4" t="str">
        <f>"2020024822"</f>
        <v>2020024822</v>
      </c>
      <c r="C4026" s="5">
        <v>50.7</v>
      </c>
      <c r="D4026" s="6">
        <v>57.5</v>
      </c>
      <c r="E4026" s="7">
        <f t="shared" si="62"/>
        <v>108.2</v>
      </c>
      <c r="F4026" s="8"/>
    </row>
    <row r="4027" spans="1:6" ht="18" customHeight="1">
      <c r="A4027" s="4" t="s">
        <v>135</v>
      </c>
      <c r="B4027" s="4" t="str">
        <f>"2020012411"</f>
        <v>2020012411</v>
      </c>
      <c r="C4027" s="5">
        <v>61.9</v>
      </c>
      <c r="D4027" s="6">
        <v>46</v>
      </c>
      <c r="E4027" s="7">
        <f t="shared" si="62"/>
        <v>107.9</v>
      </c>
      <c r="F4027" s="8"/>
    </row>
    <row r="4028" spans="1:6" ht="18" customHeight="1">
      <c r="A4028" s="4" t="s">
        <v>135</v>
      </c>
      <c r="B4028" s="4" t="str">
        <f>"2020021301"</f>
        <v>2020021301</v>
      </c>
      <c r="C4028" s="5">
        <v>55.9</v>
      </c>
      <c r="D4028" s="6">
        <v>52</v>
      </c>
      <c r="E4028" s="7">
        <f t="shared" si="62"/>
        <v>107.9</v>
      </c>
      <c r="F4028" s="8"/>
    </row>
    <row r="4029" spans="1:6" ht="18" customHeight="1">
      <c r="A4029" s="4" t="s">
        <v>135</v>
      </c>
      <c r="B4029" s="4" t="str">
        <f>"2020012504"</f>
        <v>2020012504</v>
      </c>
      <c r="C4029" s="5">
        <v>55.5</v>
      </c>
      <c r="D4029" s="6">
        <v>52</v>
      </c>
      <c r="E4029" s="7">
        <f t="shared" si="62"/>
        <v>107.5</v>
      </c>
      <c r="F4029" s="8"/>
    </row>
    <row r="4030" spans="1:6" ht="18" customHeight="1">
      <c r="A4030" s="4" t="s">
        <v>135</v>
      </c>
      <c r="B4030" s="4" t="str">
        <f>"2020044224"</f>
        <v>2020044224</v>
      </c>
      <c r="C4030" s="5">
        <v>53</v>
      </c>
      <c r="D4030" s="6">
        <v>54.5</v>
      </c>
      <c r="E4030" s="7">
        <f t="shared" si="62"/>
        <v>107.5</v>
      </c>
      <c r="F4030" s="8"/>
    </row>
    <row r="4031" spans="1:6" ht="18" customHeight="1">
      <c r="A4031" s="4" t="s">
        <v>135</v>
      </c>
      <c r="B4031" s="4" t="str">
        <f>"2020024308"</f>
        <v>2020024308</v>
      </c>
      <c r="C4031" s="5">
        <v>52</v>
      </c>
      <c r="D4031" s="6">
        <v>55.5</v>
      </c>
      <c r="E4031" s="7">
        <f t="shared" si="62"/>
        <v>107.5</v>
      </c>
      <c r="F4031" s="8"/>
    </row>
    <row r="4032" spans="1:6" ht="18" customHeight="1">
      <c r="A4032" s="4" t="s">
        <v>135</v>
      </c>
      <c r="B4032" s="4" t="str">
        <f>"2020044103"</f>
        <v>2020044103</v>
      </c>
      <c r="C4032" s="5">
        <v>57.9</v>
      </c>
      <c r="D4032" s="6">
        <v>49.5</v>
      </c>
      <c r="E4032" s="7">
        <f t="shared" si="62"/>
        <v>107.4</v>
      </c>
      <c r="F4032" s="8"/>
    </row>
    <row r="4033" spans="1:6" ht="18" customHeight="1">
      <c r="A4033" s="4" t="s">
        <v>135</v>
      </c>
      <c r="B4033" s="4" t="str">
        <f>"2020022705"</f>
        <v>2020022705</v>
      </c>
      <c r="C4033" s="5">
        <v>60.3</v>
      </c>
      <c r="D4033" s="6">
        <v>47</v>
      </c>
      <c r="E4033" s="7">
        <f t="shared" si="62"/>
        <v>107.3</v>
      </c>
      <c r="F4033" s="8"/>
    </row>
    <row r="4034" spans="1:6" ht="18" customHeight="1">
      <c r="A4034" s="4" t="s">
        <v>135</v>
      </c>
      <c r="B4034" s="4" t="str">
        <f>"2020010511"</f>
        <v>2020010511</v>
      </c>
      <c r="C4034" s="5">
        <v>50.8</v>
      </c>
      <c r="D4034" s="6">
        <v>56.5</v>
      </c>
      <c r="E4034" s="7">
        <f t="shared" si="62"/>
        <v>107.3</v>
      </c>
      <c r="F4034" s="8"/>
    </row>
    <row r="4035" spans="1:6" ht="18" customHeight="1">
      <c r="A4035" s="4" t="s">
        <v>135</v>
      </c>
      <c r="B4035" s="4" t="str">
        <f>"2020046609"</f>
        <v>2020046609</v>
      </c>
      <c r="C4035" s="5">
        <v>60.7</v>
      </c>
      <c r="D4035" s="6">
        <v>46.5</v>
      </c>
      <c r="E4035" s="7">
        <f t="shared" ref="E4035:E4098" si="63">SUM(C4035:D4035)</f>
        <v>107.2</v>
      </c>
      <c r="F4035" s="8"/>
    </row>
    <row r="4036" spans="1:6" ht="18" customHeight="1">
      <c r="A4036" s="4" t="s">
        <v>135</v>
      </c>
      <c r="B4036" s="4" t="str">
        <f>"2020023609"</f>
        <v>2020023609</v>
      </c>
      <c r="C4036" s="5">
        <v>56.1</v>
      </c>
      <c r="D4036" s="6">
        <v>51</v>
      </c>
      <c r="E4036" s="7">
        <f t="shared" si="63"/>
        <v>107.1</v>
      </c>
      <c r="F4036" s="8"/>
    </row>
    <row r="4037" spans="1:6" ht="18" customHeight="1">
      <c r="A4037" s="4" t="s">
        <v>135</v>
      </c>
      <c r="B4037" s="4" t="str">
        <f>"2020011508"</f>
        <v>2020011508</v>
      </c>
      <c r="C4037" s="5">
        <v>50.9</v>
      </c>
      <c r="D4037" s="6">
        <v>56</v>
      </c>
      <c r="E4037" s="7">
        <f t="shared" si="63"/>
        <v>106.9</v>
      </c>
      <c r="F4037" s="8"/>
    </row>
    <row r="4038" spans="1:6" ht="18" customHeight="1">
      <c r="A4038" s="4" t="s">
        <v>135</v>
      </c>
      <c r="B4038" s="4" t="str">
        <f>"2020010525"</f>
        <v>2020010525</v>
      </c>
      <c r="C4038" s="5">
        <v>55.3</v>
      </c>
      <c r="D4038" s="6">
        <v>51.5</v>
      </c>
      <c r="E4038" s="7">
        <f t="shared" si="63"/>
        <v>106.8</v>
      </c>
      <c r="F4038" s="8"/>
    </row>
    <row r="4039" spans="1:6" ht="18" customHeight="1">
      <c r="A4039" s="4" t="s">
        <v>135</v>
      </c>
      <c r="B4039" s="4" t="str">
        <f>"2020042420"</f>
        <v>2020042420</v>
      </c>
      <c r="C4039" s="5">
        <v>62.5</v>
      </c>
      <c r="D4039" s="6">
        <v>44</v>
      </c>
      <c r="E4039" s="7">
        <f t="shared" si="63"/>
        <v>106.5</v>
      </c>
      <c r="F4039" s="8"/>
    </row>
    <row r="4040" spans="1:6" ht="18" customHeight="1">
      <c r="A4040" s="4" t="s">
        <v>135</v>
      </c>
      <c r="B4040" s="4" t="str">
        <f>"2020041401"</f>
        <v>2020041401</v>
      </c>
      <c r="C4040" s="5">
        <v>54.5</v>
      </c>
      <c r="D4040" s="6">
        <v>52</v>
      </c>
      <c r="E4040" s="7">
        <f t="shared" si="63"/>
        <v>106.5</v>
      </c>
      <c r="F4040" s="8"/>
    </row>
    <row r="4041" spans="1:6" ht="18" customHeight="1">
      <c r="A4041" s="4" t="s">
        <v>135</v>
      </c>
      <c r="B4041" s="4" t="str">
        <f>"2020046117"</f>
        <v>2020046117</v>
      </c>
      <c r="C4041" s="5">
        <v>61</v>
      </c>
      <c r="D4041" s="6">
        <v>45</v>
      </c>
      <c r="E4041" s="7">
        <f t="shared" si="63"/>
        <v>106</v>
      </c>
      <c r="F4041" s="8"/>
    </row>
    <row r="4042" spans="1:6" ht="18" customHeight="1">
      <c r="A4042" s="4" t="s">
        <v>135</v>
      </c>
      <c r="B4042" s="4" t="str">
        <f>"2020040420"</f>
        <v>2020040420</v>
      </c>
      <c r="C4042" s="5">
        <v>59.4</v>
      </c>
      <c r="D4042" s="6">
        <v>46.5</v>
      </c>
      <c r="E4042" s="7">
        <f t="shared" si="63"/>
        <v>105.9</v>
      </c>
      <c r="F4042" s="8"/>
    </row>
    <row r="4043" spans="1:6" ht="18" customHeight="1">
      <c r="A4043" s="4" t="s">
        <v>135</v>
      </c>
      <c r="B4043" s="4" t="str">
        <f>"2020010626"</f>
        <v>2020010626</v>
      </c>
      <c r="C4043" s="5">
        <v>50.2</v>
      </c>
      <c r="D4043" s="6">
        <v>55.5</v>
      </c>
      <c r="E4043" s="7">
        <f t="shared" si="63"/>
        <v>105.7</v>
      </c>
      <c r="F4043" s="8"/>
    </row>
    <row r="4044" spans="1:6" ht="18" customHeight="1">
      <c r="A4044" s="4" t="s">
        <v>135</v>
      </c>
      <c r="B4044" s="4" t="str">
        <f>"2020011525"</f>
        <v>2020011525</v>
      </c>
      <c r="C4044" s="5">
        <v>55.7</v>
      </c>
      <c r="D4044" s="6">
        <v>49.5</v>
      </c>
      <c r="E4044" s="7">
        <f t="shared" si="63"/>
        <v>105.2</v>
      </c>
      <c r="F4044" s="8"/>
    </row>
    <row r="4045" spans="1:6" ht="18" customHeight="1">
      <c r="A4045" s="4" t="s">
        <v>135</v>
      </c>
      <c r="B4045" s="4" t="str">
        <f>"2020020710"</f>
        <v>2020020710</v>
      </c>
      <c r="C4045" s="5">
        <v>54.2</v>
      </c>
      <c r="D4045" s="6">
        <v>50</v>
      </c>
      <c r="E4045" s="7">
        <f t="shared" si="63"/>
        <v>104.2</v>
      </c>
      <c r="F4045" s="8"/>
    </row>
    <row r="4046" spans="1:6" ht="18" customHeight="1">
      <c r="A4046" s="4" t="s">
        <v>135</v>
      </c>
      <c r="B4046" s="4" t="str">
        <f>"2020013614"</f>
        <v>2020013614</v>
      </c>
      <c r="C4046" s="5">
        <v>54.5</v>
      </c>
      <c r="D4046" s="6">
        <v>49.5</v>
      </c>
      <c r="E4046" s="7">
        <f t="shared" si="63"/>
        <v>104</v>
      </c>
      <c r="F4046" s="8"/>
    </row>
    <row r="4047" spans="1:6" ht="18" customHeight="1">
      <c r="A4047" s="4" t="s">
        <v>135</v>
      </c>
      <c r="B4047" s="4" t="str">
        <f>"2020012024"</f>
        <v>2020012024</v>
      </c>
      <c r="C4047" s="5">
        <v>51</v>
      </c>
      <c r="D4047" s="6">
        <v>53</v>
      </c>
      <c r="E4047" s="7">
        <f t="shared" si="63"/>
        <v>104</v>
      </c>
      <c r="F4047" s="8"/>
    </row>
    <row r="4048" spans="1:6" ht="18" customHeight="1">
      <c r="A4048" s="4" t="s">
        <v>135</v>
      </c>
      <c r="B4048" s="4" t="str">
        <f>"2020012917"</f>
        <v>2020012917</v>
      </c>
      <c r="C4048" s="5">
        <v>50.5</v>
      </c>
      <c r="D4048" s="6">
        <v>53.5</v>
      </c>
      <c r="E4048" s="7">
        <f t="shared" si="63"/>
        <v>104</v>
      </c>
      <c r="F4048" s="8"/>
    </row>
    <row r="4049" spans="1:6" ht="18" customHeight="1">
      <c r="A4049" s="4" t="s">
        <v>135</v>
      </c>
      <c r="B4049" s="4" t="str">
        <f>"2020044109"</f>
        <v>2020044109</v>
      </c>
      <c r="C4049" s="5">
        <v>57.8</v>
      </c>
      <c r="D4049" s="6">
        <v>46</v>
      </c>
      <c r="E4049" s="7">
        <f t="shared" si="63"/>
        <v>103.8</v>
      </c>
      <c r="F4049" s="8"/>
    </row>
    <row r="4050" spans="1:6" ht="18" customHeight="1">
      <c r="A4050" s="4" t="s">
        <v>135</v>
      </c>
      <c r="B4050" s="4" t="str">
        <f>"2020010128"</f>
        <v>2020010128</v>
      </c>
      <c r="C4050" s="5">
        <v>49.8</v>
      </c>
      <c r="D4050" s="6">
        <v>54</v>
      </c>
      <c r="E4050" s="7">
        <f t="shared" si="63"/>
        <v>103.8</v>
      </c>
      <c r="F4050" s="8"/>
    </row>
    <row r="4051" spans="1:6" ht="18" customHeight="1">
      <c r="A4051" s="4" t="s">
        <v>135</v>
      </c>
      <c r="B4051" s="4" t="str">
        <f>"2020044222"</f>
        <v>2020044222</v>
      </c>
      <c r="C4051" s="5">
        <v>52.6</v>
      </c>
      <c r="D4051" s="6">
        <v>51</v>
      </c>
      <c r="E4051" s="7">
        <f t="shared" si="63"/>
        <v>103.6</v>
      </c>
      <c r="F4051" s="8"/>
    </row>
    <row r="4052" spans="1:6" ht="18" customHeight="1">
      <c r="A4052" s="4" t="s">
        <v>135</v>
      </c>
      <c r="B4052" s="4" t="str">
        <f>"2020033704"</f>
        <v>2020033704</v>
      </c>
      <c r="C4052" s="5">
        <v>48.6</v>
      </c>
      <c r="D4052" s="6">
        <v>55</v>
      </c>
      <c r="E4052" s="7">
        <f t="shared" si="63"/>
        <v>103.6</v>
      </c>
      <c r="F4052" s="8"/>
    </row>
    <row r="4053" spans="1:6" ht="18" customHeight="1">
      <c r="A4053" s="4" t="s">
        <v>135</v>
      </c>
      <c r="B4053" s="4" t="str">
        <f>"2020024429"</f>
        <v>2020024429</v>
      </c>
      <c r="C4053" s="5">
        <v>58.9</v>
      </c>
      <c r="D4053" s="6">
        <v>44.5</v>
      </c>
      <c r="E4053" s="7">
        <f t="shared" si="63"/>
        <v>103.4</v>
      </c>
      <c r="F4053" s="8"/>
    </row>
    <row r="4054" spans="1:6" ht="18" customHeight="1">
      <c r="A4054" s="4" t="s">
        <v>135</v>
      </c>
      <c r="B4054" s="4" t="str">
        <f>"2020040616"</f>
        <v>2020040616</v>
      </c>
      <c r="C4054" s="5">
        <v>53.1</v>
      </c>
      <c r="D4054" s="6">
        <v>50</v>
      </c>
      <c r="E4054" s="7">
        <f t="shared" si="63"/>
        <v>103.1</v>
      </c>
      <c r="F4054" s="8"/>
    </row>
    <row r="4055" spans="1:6" ht="18" customHeight="1">
      <c r="A4055" s="4" t="s">
        <v>135</v>
      </c>
      <c r="B4055" s="4" t="str">
        <f>"2020011614"</f>
        <v>2020011614</v>
      </c>
      <c r="C4055" s="5">
        <v>53.1</v>
      </c>
      <c r="D4055" s="6">
        <v>49</v>
      </c>
      <c r="E4055" s="7">
        <f t="shared" si="63"/>
        <v>102.1</v>
      </c>
      <c r="F4055" s="8"/>
    </row>
    <row r="4056" spans="1:6" ht="18" customHeight="1">
      <c r="A4056" s="4" t="s">
        <v>135</v>
      </c>
      <c r="B4056" s="4" t="str">
        <f>"2020031619"</f>
        <v>2020031619</v>
      </c>
      <c r="C4056" s="5">
        <v>57.9</v>
      </c>
      <c r="D4056" s="6">
        <v>44</v>
      </c>
      <c r="E4056" s="7">
        <f t="shared" si="63"/>
        <v>101.9</v>
      </c>
      <c r="F4056" s="8"/>
    </row>
    <row r="4057" spans="1:6" ht="18" customHeight="1">
      <c r="A4057" s="4" t="s">
        <v>135</v>
      </c>
      <c r="B4057" s="4" t="str">
        <f>"2020033221"</f>
        <v>2020033221</v>
      </c>
      <c r="C4057" s="5">
        <v>54.1</v>
      </c>
      <c r="D4057" s="6">
        <v>47</v>
      </c>
      <c r="E4057" s="7">
        <f t="shared" si="63"/>
        <v>101.1</v>
      </c>
      <c r="F4057" s="8"/>
    </row>
    <row r="4058" spans="1:6" ht="18" customHeight="1">
      <c r="A4058" s="4" t="s">
        <v>135</v>
      </c>
      <c r="B4058" s="4" t="str">
        <f>"2020021719"</f>
        <v>2020021719</v>
      </c>
      <c r="C4058" s="5">
        <v>63.9</v>
      </c>
      <c r="D4058" s="6">
        <v>37</v>
      </c>
      <c r="E4058" s="7">
        <f t="shared" si="63"/>
        <v>100.9</v>
      </c>
      <c r="F4058" s="8"/>
    </row>
    <row r="4059" spans="1:6" ht="18" customHeight="1">
      <c r="A4059" s="4" t="s">
        <v>135</v>
      </c>
      <c r="B4059" s="4" t="str">
        <f>"2020046302"</f>
        <v>2020046302</v>
      </c>
      <c r="C4059" s="5">
        <v>56.5</v>
      </c>
      <c r="D4059" s="6">
        <v>44</v>
      </c>
      <c r="E4059" s="7">
        <f t="shared" si="63"/>
        <v>100.5</v>
      </c>
      <c r="F4059" s="8"/>
    </row>
    <row r="4060" spans="1:6" ht="18" customHeight="1">
      <c r="A4060" s="4" t="s">
        <v>135</v>
      </c>
      <c r="B4060" s="4" t="str">
        <f>"2020023906"</f>
        <v>2020023906</v>
      </c>
      <c r="C4060" s="5">
        <v>55.9</v>
      </c>
      <c r="D4060" s="6">
        <v>44.5</v>
      </c>
      <c r="E4060" s="7">
        <f t="shared" si="63"/>
        <v>100.4</v>
      </c>
      <c r="F4060" s="8"/>
    </row>
    <row r="4061" spans="1:6" ht="18" customHeight="1">
      <c r="A4061" s="4" t="s">
        <v>135</v>
      </c>
      <c r="B4061" s="4" t="str">
        <f>"2020012814"</f>
        <v>2020012814</v>
      </c>
      <c r="C4061" s="5">
        <v>52.2</v>
      </c>
      <c r="D4061" s="6">
        <v>47.5</v>
      </c>
      <c r="E4061" s="7">
        <f t="shared" si="63"/>
        <v>99.7</v>
      </c>
      <c r="F4061" s="8"/>
    </row>
    <row r="4062" spans="1:6" ht="18" customHeight="1">
      <c r="A4062" s="4" t="s">
        <v>135</v>
      </c>
      <c r="B4062" s="4" t="str">
        <f>"2020047001"</f>
        <v>2020047001</v>
      </c>
      <c r="C4062" s="5">
        <v>54.1</v>
      </c>
      <c r="D4062" s="6">
        <v>45.5</v>
      </c>
      <c r="E4062" s="7">
        <f t="shared" si="63"/>
        <v>99.6</v>
      </c>
      <c r="F4062" s="8"/>
    </row>
    <row r="4063" spans="1:6" ht="18" customHeight="1">
      <c r="A4063" s="4" t="s">
        <v>135</v>
      </c>
      <c r="B4063" s="4" t="str">
        <f>"2020022928"</f>
        <v>2020022928</v>
      </c>
      <c r="C4063" s="5">
        <v>50</v>
      </c>
      <c r="D4063" s="6">
        <v>49.5</v>
      </c>
      <c r="E4063" s="7">
        <f t="shared" si="63"/>
        <v>99.5</v>
      </c>
      <c r="F4063" s="8"/>
    </row>
    <row r="4064" spans="1:6" ht="18" customHeight="1">
      <c r="A4064" s="4" t="s">
        <v>135</v>
      </c>
      <c r="B4064" s="4" t="str">
        <f>"2020012508"</f>
        <v>2020012508</v>
      </c>
      <c r="C4064" s="5">
        <v>51.9</v>
      </c>
      <c r="D4064" s="6">
        <v>47.5</v>
      </c>
      <c r="E4064" s="7">
        <f t="shared" si="63"/>
        <v>99.4</v>
      </c>
      <c r="F4064" s="8"/>
    </row>
    <row r="4065" spans="1:6" ht="18" customHeight="1">
      <c r="A4065" s="4" t="s">
        <v>135</v>
      </c>
      <c r="B4065" s="4" t="str">
        <f>"2020044319"</f>
        <v>2020044319</v>
      </c>
      <c r="C4065" s="5">
        <v>55.2</v>
      </c>
      <c r="D4065" s="6">
        <v>44</v>
      </c>
      <c r="E4065" s="7">
        <f t="shared" si="63"/>
        <v>99.2</v>
      </c>
      <c r="F4065" s="8"/>
    </row>
    <row r="4066" spans="1:6" ht="18" customHeight="1">
      <c r="A4066" s="4" t="s">
        <v>135</v>
      </c>
      <c r="B4066" s="4" t="str">
        <f>"2020024517"</f>
        <v>2020024517</v>
      </c>
      <c r="C4066" s="5">
        <v>52.9</v>
      </c>
      <c r="D4066" s="6">
        <v>46</v>
      </c>
      <c r="E4066" s="7">
        <f t="shared" si="63"/>
        <v>98.9</v>
      </c>
      <c r="F4066" s="8"/>
    </row>
    <row r="4067" spans="1:6" ht="18" customHeight="1">
      <c r="A4067" s="4" t="s">
        <v>135</v>
      </c>
      <c r="B4067" s="4" t="str">
        <f>"2020013301"</f>
        <v>2020013301</v>
      </c>
      <c r="C4067" s="5">
        <v>51.4</v>
      </c>
      <c r="D4067" s="6">
        <v>47.5</v>
      </c>
      <c r="E4067" s="7">
        <f t="shared" si="63"/>
        <v>98.9</v>
      </c>
      <c r="F4067" s="8"/>
    </row>
    <row r="4068" spans="1:6" ht="18" customHeight="1">
      <c r="A4068" s="4" t="s">
        <v>135</v>
      </c>
      <c r="B4068" s="4" t="str">
        <f>"2020020302"</f>
        <v>2020020302</v>
      </c>
      <c r="C4068" s="5">
        <v>47.8</v>
      </c>
      <c r="D4068" s="6">
        <v>51</v>
      </c>
      <c r="E4068" s="7">
        <f t="shared" si="63"/>
        <v>98.8</v>
      </c>
      <c r="F4068" s="8"/>
    </row>
    <row r="4069" spans="1:6" ht="18" customHeight="1">
      <c r="A4069" s="4" t="s">
        <v>135</v>
      </c>
      <c r="B4069" s="4" t="str">
        <f>"2020012706"</f>
        <v>2020012706</v>
      </c>
      <c r="C4069" s="5">
        <v>55.8</v>
      </c>
      <c r="D4069" s="6">
        <v>42.5</v>
      </c>
      <c r="E4069" s="7">
        <f t="shared" si="63"/>
        <v>98.3</v>
      </c>
      <c r="F4069" s="8"/>
    </row>
    <row r="4070" spans="1:6" ht="18" customHeight="1">
      <c r="A4070" s="4" t="s">
        <v>135</v>
      </c>
      <c r="B4070" s="4" t="str">
        <f>"2020042217"</f>
        <v>2020042217</v>
      </c>
      <c r="C4070" s="5">
        <v>53.7</v>
      </c>
      <c r="D4070" s="6">
        <v>43</v>
      </c>
      <c r="E4070" s="7">
        <f t="shared" si="63"/>
        <v>96.7</v>
      </c>
      <c r="F4070" s="8"/>
    </row>
    <row r="4071" spans="1:6" ht="18" customHeight="1">
      <c r="A4071" s="4" t="s">
        <v>135</v>
      </c>
      <c r="B4071" s="4" t="str">
        <f>"2020040122"</f>
        <v>2020040122</v>
      </c>
      <c r="C4071" s="5">
        <v>53</v>
      </c>
      <c r="D4071" s="6">
        <v>42.5</v>
      </c>
      <c r="E4071" s="7">
        <f t="shared" si="63"/>
        <v>95.5</v>
      </c>
      <c r="F4071" s="8"/>
    </row>
    <row r="4072" spans="1:6" ht="18" customHeight="1">
      <c r="A4072" s="4" t="s">
        <v>135</v>
      </c>
      <c r="B4072" s="4" t="str">
        <f>"2020045108"</f>
        <v>2020045108</v>
      </c>
      <c r="C4072" s="5">
        <v>47.3</v>
      </c>
      <c r="D4072" s="6">
        <v>47.5</v>
      </c>
      <c r="E4072" s="7">
        <f t="shared" si="63"/>
        <v>94.8</v>
      </c>
      <c r="F4072" s="8"/>
    </row>
    <row r="4073" spans="1:6" ht="18" customHeight="1">
      <c r="A4073" s="4" t="s">
        <v>135</v>
      </c>
      <c r="B4073" s="4" t="str">
        <f>"2020043929"</f>
        <v>2020043929</v>
      </c>
      <c r="C4073" s="5">
        <v>50.5</v>
      </c>
      <c r="D4073" s="6">
        <v>44</v>
      </c>
      <c r="E4073" s="7">
        <f t="shared" si="63"/>
        <v>94.5</v>
      </c>
      <c r="F4073" s="8"/>
    </row>
    <row r="4074" spans="1:6" ht="18" customHeight="1">
      <c r="A4074" s="4" t="s">
        <v>135</v>
      </c>
      <c r="B4074" s="4" t="str">
        <f>"2020022018"</f>
        <v>2020022018</v>
      </c>
      <c r="C4074" s="5">
        <v>49.5</v>
      </c>
      <c r="D4074" s="6">
        <v>44</v>
      </c>
      <c r="E4074" s="7">
        <f t="shared" si="63"/>
        <v>93.5</v>
      </c>
      <c r="F4074" s="8"/>
    </row>
    <row r="4075" spans="1:6" ht="18" customHeight="1">
      <c r="A4075" s="4" t="s">
        <v>135</v>
      </c>
      <c r="B4075" s="4" t="str">
        <f>"2020021804"</f>
        <v>2020021804</v>
      </c>
      <c r="C4075" s="5">
        <v>45.8</v>
      </c>
      <c r="D4075" s="6">
        <v>45.5</v>
      </c>
      <c r="E4075" s="7">
        <f t="shared" si="63"/>
        <v>91.3</v>
      </c>
      <c r="F4075" s="8"/>
    </row>
    <row r="4076" spans="1:6" ht="18" customHeight="1">
      <c r="A4076" s="4" t="s">
        <v>135</v>
      </c>
      <c r="B4076" s="4" t="str">
        <f>"2020024118"</f>
        <v>2020024118</v>
      </c>
      <c r="C4076" s="5">
        <v>49</v>
      </c>
      <c r="D4076" s="6">
        <v>41.5</v>
      </c>
      <c r="E4076" s="7">
        <f t="shared" si="63"/>
        <v>90.5</v>
      </c>
      <c r="F4076" s="8"/>
    </row>
    <row r="4077" spans="1:6" ht="18" customHeight="1">
      <c r="A4077" s="4" t="s">
        <v>135</v>
      </c>
      <c r="B4077" s="4" t="str">
        <f>"2020023818"</f>
        <v>2020023818</v>
      </c>
      <c r="C4077" s="5">
        <v>52.9</v>
      </c>
      <c r="D4077" s="6">
        <v>34.5</v>
      </c>
      <c r="E4077" s="7">
        <f t="shared" si="63"/>
        <v>87.4</v>
      </c>
      <c r="F4077" s="8"/>
    </row>
    <row r="4078" spans="1:6" ht="18" customHeight="1">
      <c r="A4078" s="4" t="s">
        <v>135</v>
      </c>
      <c r="B4078" s="4" t="str">
        <f>"2020040306"</f>
        <v>2020040306</v>
      </c>
      <c r="C4078" s="5">
        <v>53.6</v>
      </c>
      <c r="D4078" s="6">
        <v>33.5</v>
      </c>
      <c r="E4078" s="7">
        <f t="shared" si="63"/>
        <v>87.1</v>
      </c>
      <c r="F4078" s="8"/>
    </row>
    <row r="4079" spans="1:6" ht="18" customHeight="1">
      <c r="A4079" s="4" t="s">
        <v>135</v>
      </c>
      <c r="B4079" s="4" t="str">
        <f>"2020040211"</f>
        <v>2020040211</v>
      </c>
      <c r="C4079" s="5">
        <v>49.7</v>
      </c>
      <c r="D4079" s="6">
        <v>36</v>
      </c>
      <c r="E4079" s="7">
        <f t="shared" si="63"/>
        <v>85.7</v>
      </c>
      <c r="F4079" s="8"/>
    </row>
    <row r="4080" spans="1:6" ht="18" customHeight="1">
      <c r="A4080" s="4" t="s">
        <v>135</v>
      </c>
      <c r="B4080" s="4" t="str">
        <f>"2020010524"</f>
        <v>2020010524</v>
      </c>
      <c r="C4080" s="5">
        <v>36.6</v>
      </c>
      <c r="D4080" s="6">
        <v>49</v>
      </c>
      <c r="E4080" s="7">
        <f t="shared" si="63"/>
        <v>85.6</v>
      </c>
      <c r="F4080" s="8"/>
    </row>
    <row r="4081" spans="1:6" ht="18" customHeight="1">
      <c r="A4081" s="4" t="s">
        <v>135</v>
      </c>
      <c r="B4081" s="4" t="str">
        <f>"2020044803"</f>
        <v>2020044803</v>
      </c>
      <c r="C4081" s="5">
        <v>51.8</v>
      </c>
      <c r="D4081" s="6">
        <v>33</v>
      </c>
      <c r="E4081" s="7">
        <f t="shared" si="63"/>
        <v>84.8</v>
      </c>
      <c r="F4081" s="8"/>
    </row>
    <row r="4082" spans="1:6" ht="18" customHeight="1">
      <c r="A4082" s="4" t="s">
        <v>135</v>
      </c>
      <c r="B4082" s="4" t="str">
        <f>"2020032409"</f>
        <v>2020032409</v>
      </c>
      <c r="C4082" s="5">
        <v>46.8</v>
      </c>
      <c r="D4082" s="6">
        <v>33</v>
      </c>
      <c r="E4082" s="7">
        <f t="shared" si="63"/>
        <v>79.8</v>
      </c>
      <c r="F4082" s="8"/>
    </row>
    <row r="4083" spans="1:6" ht="18" customHeight="1">
      <c r="A4083" s="4" t="s">
        <v>135</v>
      </c>
      <c r="B4083" s="4" t="str">
        <f>"2020042721"</f>
        <v>2020042721</v>
      </c>
      <c r="C4083" s="5">
        <v>45.2</v>
      </c>
      <c r="D4083" s="6">
        <v>34.5</v>
      </c>
      <c r="E4083" s="7">
        <f t="shared" si="63"/>
        <v>79.7</v>
      </c>
      <c r="F4083" s="8"/>
    </row>
    <row r="4084" spans="1:6" ht="18" customHeight="1">
      <c r="A4084" s="4" t="s">
        <v>135</v>
      </c>
      <c r="B4084" s="4" t="str">
        <f>"2020013330"</f>
        <v>2020013330</v>
      </c>
      <c r="C4084" s="5">
        <v>39.799999999999997</v>
      </c>
      <c r="D4084" s="6">
        <v>36.5</v>
      </c>
      <c r="E4084" s="7">
        <f t="shared" si="63"/>
        <v>76.3</v>
      </c>
      <c r="F4084" s="8"/>
    </row>
    <row r="4085" spans="1:6" ht="18" customHeight="1">
      <c r="A4085" s="4" t="s">
        <v>135</v>
      </c>
      <c r="B4085" s="4" t="str">
        <f>"2020041403"</f>
        <v>2020041403</v>
      </c>
      <c r="C4085" s="5">
        <v>39</v>
      </c>
      <c r="D4085" s="6">
        <v>34.5</v>
      </c>
      <c r="E4085" s="7">
        <f t="shared" si="63"/>
        <v>73.5</v>
      </c>
      <c r="F4085" s="8"/>
    </row>
    <row r="4086" spans="1:6" ht="18" customHeight="1">
      <c r="A4086" s="4" t="s">
        <v>135</v>
      </c>
      <c r="B4086" s="4" t="str">
        <f>"2020020815"</f>
        <v>2020020815</v>
      </c>
      <c r="C4086" s="5">
        <v>36.4</v>
      </c>
      <c r="D4086" s="6">
        <v>35</v>
      </c>
      <c r="E4086" s="7">
        <f t="shared" si="63"/>
        <v>71.400000000000006</v>
      </c>
      <c r="F4086" s="9"/>
    </row>
    <row r="4087" spans="1:6" ht="18" customHeight="1">
      <c r="A4087" s="4" t="s">
        <v>135</v>
      </c>
      <c r="B4087" s="4" t="str">
        <f>"2020011129"</f>
        <v>2020011129</v>
      </c>
      <c r="C4087" s="5">
        <v>0</v>
      </c>
      <c r="D4087" s="6">
        <v>45</v>
      </c>
      <c r="E4087" s="7">
        <f t="shared" si="63"/>
        <v>45</v>
      </c>
      <c r="F4087" s="8" t="s">
        <v>10</v>
      </c>
    </row>
    <row r="4088" spans="1:6" ht="18" customHeight="1">
      <c r="A4088" s="4" t="s">
        <v>135</v>
      </c>
      <c r="B4088" s="4" t="str">
        <f>"2020022627"</f>
        <v>2020022627</v>
      </c>
      <c r="C4088" s="5">
        <v>0</v>
      </c>
      <c r="D4088" s="6">
        <v>9</v>
      </c>
      <c r="E4088" s="7">
        <f t="shared" si="63"/>
        <v>9</v>
      </c>
      <c r="F4088" s="8" t="s">
        <v>10</v>
      </c>
    </row>
    <row r="4089" spans="1:6" ht="18" customHeight="1">
      <c r="A4089" s="4" t="s">
        <v>135</v>
      </c>
      <c r="B4089" s="4" t="str">
        <f>"2020043517"</f>
        <v>2020043517</v>
      </c>
      <c r="C4089" s="5">
        <v>0</v>
      </c>
      <c r="D4089" s="6">
        <v>9</v>
      </c>
      <c r="E4089" s="7">
        <f t="shared" si="63"/>
        <v>9</v>
      </c>
      <c r="F4089" s="10" t="s">
        <v>111</v>
      </c>
    </row>
    <row r="4090" spans="1:6" ht="18" customHeight="1">
      <c r="A4090" s="4" t="s">
        <v>135</v>
      </c>
      <c r="B4090" s="4" t="str">
        <f>"2020010202"</f>
        <v>2020010202</v>
      </c>
      <c r="C4090" s="5">
        <v>0</v>
      </c>
      <c r="D4090" s="6">
        <v>0</v>
      </c>
      <c r="E4090" s="7">
        <f t="shared" si="63"/>
        <v>0</v>
      </c>
      <c r="F4090" s="9" t="s">
        <v>8</v>
      </c>
    </row>
    <row r="4091" spans="1:6" ht="18" customHeight="1">
      <c r="A4091" s="4" t="s">
        <v>135</v>
      </c>
      <c r="B4091" s="4" t="str">
        <f>"2020010423"</f>
        <v>2020010423</v>
      </c>
      <c r="C4091" s="5">
        <v>0</v>
      </c>
      <c r="D4091" s="6">
        <v>0</v>
      </c>
      <c r="E4091" s="7">
        <f t="shared" si="63"/>
        <v>0</v>
      </c>
      <c r="F4091" s="9" t="s">
        <v>8</v>
      </c>
    </row>
    <row r="4092" spans="1:6" ht="18" customHeight="1">
      <c r="A4092" s="4" t="s">
        <v>135</v>
      </c>
      <c r="B4092" s="4" t="str">
        <f>"2020010712"</f>
        <v>2020010712</v>
      </c>
      <c r="C4092" s="5">
        <v>0</v>
      </c>
      <c r="D4092" s="6">
        <v>0</v>
      </c>
      <c r="E4092" s="7">
        <f t="shared" si="63"/>
        <v>0</v>
      </c>
      <c r="F4092" s="9" t="s">
        <v>8</v>
      </c>
    </row>
    <row r="4093" spans="1:6" ht="18" customHeight="1">
      <c r="A4093" s="4" t="s">
        <v>135</v>
      </c>
      <c r="B4093" s="4" t="str">
        <f>"2020011102"</f>
        <v>2020011102</v>
      </c>
      <c r="C4093" s="5">
        <v>0</v>
      </c>
      <c r="D4093" s="6">
        <v>0</v>
      </c>
      <c r="E4093" s="7">
        <f t="shared" si="63"/>
        <v>0</v>
      </c>
      <c r="F4093" s="9" t="s">
        <v>8</v>
      </c>
    </row>
    <row r="4094" spans="1:6" ht="18" customHeight="1">
      <c r="A4094" s="4" t="s">
        <v>135</v>
      </c>
      <c r="B4094" s="4" t="str">
        <f>"2020011222"</f>
        <v>2020011222</v>
      </c>
      <c r="C4094" s="5">
        <v>0</v>
      </c>
      <c r="D4094" s="6">
        <v>0</v>
      </c>
      <c r="E4094" s="7">
        <f t="shared" si="63"/>
        <v>0</v>
      </c>
      <c r="F4094" s="9" t="s">
        <v>8</v>
      </c>
    </row>
    <row r="4095" spans="1:6" ht="18" customHeight="1">
      <c r="A4095" s="4" t="s">
        <v>135</v>
      </c>
      <c r="B4095" s="4" t="str">
        <f>"2020011225"</f>
        <v>2020011225</v>
      </c>
      <c r="C4095" s="5">
        <v>0</v>
      </c>
      <c r="D4095" s="6">
        <v>0</v>
      </c>
      <c r="E4095" s="7">
        <f t="shared" si="63"/>
        <v>0</v>
      </c>
      <c r="F4095" s="9" t="s">
        <v>8</v>
      </c>
    </row>
    <row r="4096" spans="1:6" ht="18" customHeight="1">
      <c r="A4096" s="4" t="s">
        <v>135</v>
      </c>
      <c r="B4096" s="4" t="str">
        <f>"2020011502"</f>
        <v>2020011502</v>
      </c>
      <c r="C4096" s="5">
        <v>0</v>
      </c>
      <c r="D4096" s="6">
        <v>0</v>
      </c>
      <c r="E4096" s="7">
        <f t="shared" si="63"/>
        <v>0</v>
      </c>
      <c r="F4096" s="9" t="s">
        <v>8</v>
      </c>
    </row>
    <row r="4097" spans="1:6" ht="18" customHeight="1">
      <c r="A4097" s="4" t="s">
        <v>135</v>
      </c>
      <c r="B4097" s="4" t="str">
        <f>"2020011618"</f>
        <v>2020011618</v>
      </c>
      <c r="C4097" s="5">
        <v>0</v>
      </c>
      <c r="D4097" s="6">
        <v>0</v>
      </c>
      <c r="E4097" s="7">
        <f t="shared" si="63"/>
        <v>0</v>
      </c>
      <c r="F4097" s="9" t="s">
        <v>8</v>
      </c>
    </row>
    <row r="4098" spans="1:6" ht="18" customHeight="1">
      <c r="A4098" s="4" t="s">
        <v>135</v>
      </c>
      <c r="B4098" s="4" t="str">
        <f>"2020011908"</f>
        <v>2020011908</v>
      </c>
      <c r="C4098" s="5">
        <v>0</v>
      </c>
      <c r="D4098" s="6">
        <v>0</v>
      </c>
      <c r="E4098" s="7">
        <f t="shared" si="63"/>
        <v>0</v>
      </c>
      <c r="F4098" s="9" t="s">
        <v>8</v>
      </c>
    </row>
    <row r="4099" spans="1:6" ht="18" customHeight="1">
      <c r="A4099" s="4" t="s">
        <v>135</v>
      </c>
      <c r="B4099" s="4" t="str">
        <f>"2020012319"</f>
        <v>2020012319</v>
      </c>
      <c r="C4099" s="5">
        <v>0</v>
      </c>
      <c r="D4099" s="6">
        <v>0</v>
      </c>
      <c r="E4099" s="7">
        <f t="shared" ref="E4099:E4162" si="64">SUM(C4099:D4099)</f>
        <v>0</v>
      </c>
      <c r="F4099" s="9" t="s">
        <v>8</v>
      </c>
    </row>
    <row r="4100" spans="1:6" ht="18" customHeight="1">
      <c r="A4100" s="4" t="s">
        <v>135</v>
      </c>
      <c r="B4100" s="4" t="str">
        <f>"2020012906"</f>
        <v>2020012906</v>
      </c>
      <c r="C4100" s="5">
        <v>0</v>
      </c>
      <c r="D4100" s="6">
        <v>0</v>
      </c>
      <c r="E4100" s="7">
        <f t="shared" si="64"/>
        <v>0</v>
      </c>
      <c r="F4100" s="9" t="s">
        <v>8</v>
      </c>
    </row>
    <row r="4101" spans="1:6" ht="18" customHeight="1">
      <c r="A4101" s="4" t="s">
        <v>135</v>
      </c>
      <c r="B4101" s="4" t="str">
        <f>"2020012916"</f>
        <v>2020012916</v>
      </c>
      <c r="C4101" s="5">
        <v>0</v>
      </c>
      <c r="D4101" s="6">
        <v>0</v>
      </c>
      <c r="E4101" s="7">
        <f t="shared" si="64"/>
        <v>0</v>
      </c>
      <c r="F4101" s="9" t="s">
        <v>8</v>
      </c>
    </row>
    <row r="4102" spans="1:6" ht="18" customHeight="1">
      <c r="A4102" s="4" t="s">
        <v>135</v>
      </c>
      <c r="B4102" s="4" t="str">
        <f>"2020013216"</f>
        <v>2020013216</v>
      </c>
      <c r="C4102" s="5">
        <v>0</v>
      </c>
      <c r="D4102" s="6">
        <v>0</v>
      </c>
      <c r="E4102" s="7">
        <f t="shared" si="64"/>
        <v>0</v>
      </c>
      <c r="F4102" s="9" t="s">
        <v>8</v>
      </c>
    </row>
    <row r="4103" spans="1:6" ht="18" customHeight="1">
      <c r="A4103" s="4" t="s">
        <v>135</v>
      </c>
      <c r="B4103" s="4" t="str">
        <f>"2020013224"</f>
        <v>2020013224</v>
      </c>
      <c r="C4103" s="5">
        <v>0</v>
      </c>
      <c r="D4103" s="6">
        <v>0</v>
      </c>
      <c r="E4103" s="7">
        <f t="shared" si="64"/>
        <v>0</v>
      </c>
      <c r="F4103" s="9" t="s">
        <v>8</v>
      </c>
    </row>
    <row r="4104" spans="1:6" ht="18" customHeight="1">
      <c r="A4104" s="4" t="s">
        <v>135</v>
      </c>
      <c r="B4104" s="4" t="str">
        <f>"2020013409"</f>
        <v>2020013409</v>
      </c>
      <c r="C4104" s="5">
        <v>0</v>
      </c>
      <c r="D4104" s="6">
        <v>0</v>
      </c>
      <c r="E4104" s="7">
        <f t="shared" si="64"/>
        <v>0</v>
      </c>
      <c r="F4104" s="9" t="s">
        <v>8</v>
      </c>
    </row>
    <row r="4105" spans="1:6" ht="18" customHeight="1">
      <c r="A4105" s="4" t="s">
        <v>135</v>
      </c>
      <c r="B4105" s="4" t="str">
        <f>"2020013412"</f>
        <v>2020013412</v>
      </c>
      <c r="C4105" s="5">
        <v>0</v>
      </c>
      <c r="D4105" s="6">
        <v>0</v>
      </c>
      <c r="E4105" s="7">
        <f t="shared" si="64"/>
        <v>0</v>
      </c>
      <c r="F4105" s="9" t="s">
        <v>8</v>
      </c>
    </row>
    <row r="4106" spans="1:6" ht="18" customHeight="1">
      <c r="A4106" s="4" t="s">
        <v>135</v>
      </c>
      <c r="B4106" s="4" t="str">
        <f>"2020013414"</f>
        <v>2020013414</v>
      </c>
      <c r="C4106" s="5">
        <v>0</v>
      </c>
      <c r="D4106" s="6">
        <v>0</v>
      </c>
      <c r="E4106" s="7">
        <f t="shared" si="64"/>
        <v>0</v>
      </c>
      <c r="F4106" s="9" t="s">
        <v>8</v>
      </c>
    </row>
    <row r="4107" spans="1:6" ht="18" customHeight="1">
      <c r="A4107" s="4" t="s">
        <v>135</v>
      </c>
      <c r="B4107" s="4" t="str">
        <f>"2020013907"</f>
        <v>2020013907</v>
      </c>
      <c r="C4107" s="5">
        <v>0</v>
      </c>
      <c r="D4107" s="6">
        <v>0</v>
      </c>
      <c r="E4107" s="7">
        <f t="shared" si="64"/>
        <v>0</v>
      </c>
      <c r="F4107" s="9" t="s">
        <v>8</v>
      </c>
    </row>
    <row r="4108" spans="1:6" ht="18" customHeight="1">
      <c r="A4108" s="4" t="s">
        <v>135</v>
      </c>
      <c r="B4108" s="4" t="str">
        <f>"2020014028"</f>
        <v>2020014028</v>
      </c>
      <c r="C4108" s="5">
        <v>0</v>
      </c>
      <c r="D4108" s="6">
        <v>0</v>
      </c>
      <c r="E4108" s="7">
        <f t="shared" si="64"/>
        <v>0</v>
      </c>
      <c r="F4108" s="9" t="s">
        <v>8</v>
      </c>
    </row>
    <row r="4109" spans="1:6" ht="18" customHeight="1">
      <c r="A4109" s="4" t="s">
        <v>135</v>
      </c>
      <c r="B4109" s="4" t="str">
        <f>"2020020126"</f>
        <v>2020020126</v>
      </c>
      <c r="C4109" s="5">
        <v>0</v>
      </c>
      <c r="D4109" s="6">
        <v>0</v>
      </c>
      <c r="E4109" s="7">
        <f t="shared" si="64"/>
        <v>0</v>
      </c>
      <c r="F4109" s="8" t="s">
        <v>8</v>
      </c>
    </row>
    <row r="4110" spans="1:6" ht="18" customHeight="1">
      <c r="A4110" s="4" t="s">
        <v>135</v>
      </c>
      <c r="B4110" s="4" t="str">
        <f>"2020020227"</f>
        <v>2020020227</v>
      </c>
      <c r="C4110" s="5">
        <v>0</v>
      </c>
      <c r="D4110" s="6">
        <v>0</v>
      </c>
      <c r="E4110" s="7">
        <f t="shared" si="64"/>
        <v>0</v>
      </c>
      <c r="F4110" s="8" t="s">
        <v>8</v>
      </c>
    </row>
    <row r="4111" spans="1:6" ht="18" customHeight="1">
      <c r="A4111" s="4" t="s">
        <v>135</v>
      </c>
      <c r="B4111" s="4" t="str">
        <f>"2020020315"</f>
        <v>2020020315</v>
      </c>
      <c r="C4111" s="5">
        <v>0</v>
      </c>
      <c r="D4111" s="6">
        <v>0</v>
      </c>
      <c r="E4111" s="7">
        <f t="shared" si="64"/>
        <v>0</v>
      </c>
      <c r="F4111" s="8" t="s">
        <v>8</v>
      </c>
    </row>
    <row r="4112" spans="1:6" ht="18" customHeight="1">
      <c r="A4112" s="4" t="s">
        <v>135</v>
      </c>
      <c r="B4112" s="4" t="str">
        <f>"2020020604"</f>
        <v>2020020604</v>
      </c>
      <c r="C4112" s="5">
        <v>0</v>
      </c>
      <c r="D4112" s="6">
        <v>0</v>
      </c>
      <c r="E4112" s="7">
        <f t="shared" si="64"/>
        <v>0</v>
      </c>
      <c r="F4112" s="8" t="s">
        <v>8</v>
      </c>
    </row>
    <row r="4113" spans="1:6" ht="18" customHeight="1">
      <c r="A4113" s="4" t="s">
        <v>135</v>
      </c>
      <c r="B4113" s="4" t="str">
        <f>"2020020926"</f>
        <v>2020020926</v>
      </c>
      <c r="C4113" s="5">
        <v>0</v>
      </c>
      <c r="D4113" s="6">
        <v>0</v>
      </c>
      <c r="E4113" s="7">
        <f t="shared" si="64"/>
        <v>0</v>
      </c>
      <c r="F4113" s="8" t="s">
        <v>8</v>
      </c>
    </row>
    <row r="4114" spans="1:6" ht="18" customHeight="1">
      <c r="A4114" s="4" t="s">
        <v>135</v>
      </c>
      <c r="B4114" s="4" t="str">
        <f>"2020021230"</f>
        <v>2020021230</v>
      </c>
      <c r="C4114" s="5">
        <v>0</v>
      </c>
      <c r="D4114" s="6">
        <v>0</v>
      </c>
      <c r="E4114" s="7">
        <f t="shared" si="64"/>
        <v>0</v>
      </c>
      <c r="F4114" s="8" t="s">
        <v>8</v>
      </c>
    </row>
    <row r="4115" spans="1:6" ht="18" customHeight="1">
      <c r="A4115" s="4" t="s">
        <v>135</v>
      </c>
      <c r="B4115" s="4" t="str">
        <f>"2020021401"</f>
        <v>2020021401</v>
      </c>
      <c r="C4115" s="5">
        <v>0</v>
      </c>
      <c r="D4115" s="6">
        <v>0</v>
      </c>
      <c r="E4115" s="7">
        <f t="shared" si="64"/>
        <v>0</v>
      </c>
      <c r="F4115" s="8" t="s">
        <v>8</v>
      </c>
    </row>
    <row r="4116" spans="1:6" ht="18" customHeight="1">
      <c r="A4116" s="4" t="s">
        <v>135</v>
      </c>
      <c r="B4116" s="4" t="str">
        <f>"2020021427"</f>
        <v>2020021427</v>
      </c>
      <c r="C4116" s="5">
        <v>0</v>
      </c>
      <c r="D4116" s="6">
        <v>0</v>
      </c>
      <c r="E4116" s="7">
        <f t="shared" si="64"/>
        <v>0</v>
      </c>
      <c r="F4116" s="8" t="s">
        <v>8</v>
      </c>
    </row>
    <row r="4117" spans="1:6" ht="18" customHeight="1">
      <c r="A4117" s="4" t="s">
        <v>135</v>
      </c>
      <c r="B4117" s="4" t="str">
        <f>"2020021506"</f>
        <v>2020021506</v>
      </c>
      <c r="C4117" s="5">
        <v>0</v>
      </c>
      <c r="D4117" s="6">
        <v>0</v>
      </c>
      <c r="E4117" s="7">
        <f t="shared" si="64"/>
        <v>0</v>
      </c>
      <c r="F4117" s="8" t="s">
        <v>8</v>
      </c>
    </row>
    <row r="4118" spans="1:6" ht="18" customHeight="1">
      <c r="A4118" s="4" t="s">
        <v>135</v>
      </c>
      <c r="B4118" s="4" t="str">
        <f>"2020022310"</f>
        <v>2020022310</v>
      </c>
      <c r="C4118" s="5">
        <v>0</v>
      </c>
      <c r="D4118" s="6">
        <v>0</v>
      </c>
      <c r="E4118" s="7">
        <f t="shared" si="64"/>
        <v>0</v>
      </c>
      <c r="F4118" s="8" t="s">
        <v>8</v>
      </c>
    </row>
    <row r="4119" spans="1:6" ht="18" customHeight="1">
      <c r="A4119" s="4" t="s">
        <v>135</v>
      </c>
      <c r="B4119" s="4" t="str">
        <f>"2020022407"</f>
        <v>2020022407</v>
      </c>
      <c r="C4119" s="5">
        <v>0</v>
      </c>
      <c r="D4119" s="6">
        <v>0</v>
      </c>
      <c r="E4119" s="7">
        <f t="shared" si="64"/>
        <v>0</v>
      </c>
      <c r="F4119" s="8" t="s">
        <v>8</v>
      </c>
    </row>
    <row r="4120" spans="1:6" ht="18" customHeight="1">
      <c r="A4120" s="4" t="s">
        <v>135</v>
      </c>
      <c r="B4120" s="4" t="str">
        <f>"2020022601"</f>
        <v>2020022601</v>
      </c>
      <c r="C4120" s="5">
        <v>0</v>
      </c>
      <c r="D4120" s="6">
        <v>0</v>
      </c>
      <c r="E4120" s="7">
        <f t="shared" si="64"/>
        <v>0</v>
      </c>
      <c r="F4120" s="8" t="s">
        <v>8</v>
      </c>
    </row>
    <row r="4121" spans="1:6" ht="18" customHeight="1">
      <c r="A4121" s="4" t="s">
        <v>135</v>
      </c>
      <c r="B4121" s="4" t="str">
        <f>"2020023117"</f>
        <v>2020023117</v>
      </c>
      <c r="C4121" s="5">
        <v>0</v>
      </c>
      <c r="D4121" s="6">
        <v>0</v>
      </c>
      <c r="E4121" s="7">
        <f t="shared" si="64"/>
        <v>0</v>
      </c>
      <c r="F4121" s="8" t="s">
        <v>8</v>
      </c>
    </row>
    <row r="4122" spans="1:6" ht="18" customHeight="1">
      <c r="A4122" s="4" t="s">
        <v>135</v>
      </c>
      <c r="B4122" s="4" t="str">
        <f>"2020023427"</f>
        <v>2020023427</v>
      </c>
      <c r="C4122" s="5">
        <v>0</v>
      </c>
      <c r="D4122" s="6">
        <v>0</v>
      </c>
      <c r="E4122" s="7">
        <f t="shared" si="64"/>
        <v>0</v>
      </c>
      <c r="F4122" s="8" t="s">
        <v>8</v>
      </c>
    </row>
    <row r="4123" spans="1:6" ht="18" customHeight="1">
      <c r="A4123" s="4" t="s">
        <v>135</v>
      </c>
      <c r="B4123" s="4" t="str">
        <f>"2020023430"</f>
        <v>2020023430</v>
      </c>
      <c r="C4123" s="5">
        <v>0</v>
      </c>
      <c r="D4123" s="6">
        <v>0</v>
      </c>
      <c r="E4123" s="7">
        <f t="shared" si="64"/>
        <v>0</v>
      </c>
      <c r="F4123" s="8" t="s">
        <v>8</v>
      </c>
    </row>
    <row r="4124" spans="1:6" ht="18" customHeight="1">
      <c r="A4124" s="4" t="s">
        <v>135</v>
      </c>
      <c r="B4124" s="4" t="str">
        <f>"2020023517"</f>
        <v>2020023517</v>
      </c>
      <c r="C4124" s="5">
        <v>0</v>
      </c>
      <c r="D4124" s="6">
        <v>0</v>
      </c>
      <c r="E4124" s="7">
        <f t="shared" si="64"/>
        <v>0</v>
      </c>
      <c r="F4124" s="8" t="s">
        <v>8</v>
      </c>
    </row>
    <row r="4125" spans="1:6" ht="18" customHeight="1">
      <c r="A4125" s="4" t="s">
        <v>135</v>
      </c>
      <c r="B4125" s="4" t="str">
        <f>"2020023821"</f>
        <v>2020023821</v>
      </c>
      <c r="C4125" s="5">
        <v>0</v>
      </c>
      <c r="D4125" s="6">
        <v>0</v>
      </c>
      <c r="E4125" s="7">
        <f t="shared" si="64"/>
        <v>0</v>
      </c>
      <c r="F4125" s="8" t="s">
        <v>8</v>
      </c>
    </row>
    <row r="4126" spans="1:6" ht="18" customHeight="1">
      <c r="A4126" s="4" t="s">
        <v>135</v>
      </c>
      <c r="B4126" s="4" t="str">
        <f>"2020024029"</f>
        <v>2020024029</v>
      </c>
      <c r="C4126" s="5">
        <v>0</v>
      </c>
      <c r="D4126" s="6">
        <v>0</v>
      </c>
      <c r="E4126" s="7">
        <f t="shared" si="64"/>
        <v>0</v>
      </c>
      <c r="F4126" s="8" t="s">
        <v>8</v>
      </c>
    </row>
    <row r="4127" spans="1:6" ht="18" customHeight="1">
      <c r="A4127" s="4" t="s">
        <v>135</v>
      </c>
      <c r="B4127" s="4" t="str">
        <f>"2020024520"</f>
        <v>2020024520</v>
      </c>
      <c r="C4127" s="5">
        <v>0</v>
      </c>
      <c r="D4127" s="6">
        <v>0</v>
      </c>
      <c r="E4127" s="7">
        <f t="shared" si="64"/>
        <v>0</v>
      </c>
      <c r="F4127" s="8" t="s">
        <v>8</v>
      </c>
    </row>
    <row r="4128" spans="1:6" ht="18" customHeight="1">
      <c r="A4128" s="4" t="s">
        <v>135</v>
      </c>
      <c r="B4128" s="4" t="str">
        <f>"2020030503"</f>
        <v>2020030503</v>
      </c>
      <c r="C4128" s="5">
        <v>0</v>
      </c>
      <c r="D4128" s="6">
        <v>0</v>
      </c>
      <c r="E4128" s="7">
        <f t="shared" si="64"/>
        <v>0</v>
      </c>
      <c r="F4128" s="8" t="s">
        <v>8</v>
      </c>
    </row>
    <row r="4129" spans="1:6" ht="18" customHeight="1">
      <c r="A4129" s="4" t="s">
        <v>135</v>
      </c>
      <c r="B4129" s="4" t="str">
        <f>"2020031003"</f>
        <v>2020031003</v>
      </c>
      <c r="C4129" s="5">
        <v>0</v>
      </c>
      <c r="D4129" s="6">
        <v>0</v>
      </c>
      <c r="E4129" s="7">
        <f t="shared" si="64"/>
        <v>0</v>
      </c>
      <c r="F4129" s="8" t="s">
        <v>8</v>
      </c>
    </row>
    <row r="4130" spans="1:6" ht="18" customHeight="1">
      <c r="A4130" s="4" t="s">
        <v>135</v>
      </c>
      <c r="B4130" s="4" t="str">
        <f>"2020031114"</f>
        <v>2020031114</v>
      </c>
      <c r="C4130" s="5">
        <v>0</v>
      </c>
      <c r="D4130" s="6">
        <v>0</v>
      </c>
      <c r="E4130" s="7">
        <f t="shared" si="64"/>
        <v>0</v>
      </c>
      <c r="F4130" s="8" t="s">
        <v>8</v>
      </c>
    </row>
    <row r="4131" spans="1:6" ht="18" customHeight="1">
      <c r="A4131" s="4" t="s">
        <v>135</v>
      </c>
      <c r="B4131" s="4" t="str">
        <f>"2020031229"</f>
        <v>2020031229</v>
      </c>
      <c r="C4131" s="5">
        <v>0</v>
      </c>
      <c r="D4131" s="6">
        <v>0</v>
      </c>
      <c r="E4131" s="7">
        <f t="shared" si="64"/>
        <v>0</v>
      </c>
      <c r="F4131" s="8" t="s">
        <v>8</v>
      </c>
    </row>
    <row r="4132" spans="1:6" ht="18" customHeight="1">
      <c r="A4132" s="4" t="s">
        <v>135</v>
      </c>
      <c r="B4132" s="4" t="str">
        <f>"2020031310"</f>
        <v>2020031310</v>
      </c>
      <c r="C4132" s="5">
        <v>0</v>
      </c>
      <c r="D4132" s="6">
        <v>0</v>
      </c>
      <c r="E4132" s="7">
        <f t="shared" si="64"/>
        <v>0</v>
      </c>
      <c r="F4132" s="8" t="s">
        <v>8</v>
      </c>
    </row>
    <row r="4133" spans="1:6" ht="18" customHeight="1">
      <c r="A4133" s="4" t="s">
        <v>135</v>
      </c>
      <c r="B4133" s="4" t="str">
        <f>"2020031504"</f>
        <v>2020031504</v>
      </c>
      <c r="C4133" s="5">
        <v>0</v>
      </c>
      <c r="D4133" s="6">
        <v>0</v>
      </c>
      <c r="E4133" s="7">
        <f t="shared" si="64"/>
        <v>0</v>
      </c>
      <c r="F4133" s="8" t="s">
        <v>8</v>
      </c>
    </row>
    <row r="4134" spans="1:6" ht="18" customHeight="1">
      <c r="A4134" s="4" t="s">
        <v>135</v>
      </c>
      <c r="B4134" s="4" t="str">
        <f>"2020031514"</f>
        <v>2020031514</v>
      </c>
      <c r="C4134" s="5">
        <v>0</v>
      </c>
      <c r="D4134" s="6">
        <v>0</v>
      </c>
      <c r="E4134" s="7">
        <f t="shared" si="64"/>
        <v>0</v>
      </c>
      <c r="F4134" s="8" t="s">
        <v>8</v>
      </c>
    </row>
    <row r="4135" spans="1:6" ht="18" customHeight="1">
      <c r="A4135" s="4" t="s">
        <v>135</v>
      </c>
      <c r="B4135" s="4" t="str">
        <f>"2020031621"</f>
        <v>2020031621</v>
      </c>
      <c r="C4135" s="5">
        <v>0</v>
      </c>
      <c r="D4135" s="6">
        <v>0</v>
      </c>
      <c r="E4135" s="7">
        <f t="shared" si="64"/>
        <v>0</v>
      </c>
      <c r="F4135" s="8" t="s">
        <v>8</v>
      </c>
    </row>
    <row r="4136" spans="1:6" ht="18" customHeight="1">
      <c r="A4136" s="4" t="s">
        <v>135</v>
      </c>
      <c r="B4136" s="4" t="str">
        <f>"2020031627"</f>
        <v>2020031627</v>
      </c>
      <c r="C4136" s="5">
        <v>0</v>
      </c>
      <c r="D4136" s="6">
        <v>0</v>
      </c>
      <c r="E4136" s="7">
        <f t="shared" si="64"/>
        <v>0</v>
      </c>
      <c r="F4136" s="8" t="s">
        <v>8</v>
      </c>
    </row>
    <row r="4137" spans="1:6" ht="18" customHeight="1">
      <c r="A4137" s="4" t="s">
        <v>135</v>
      </c>
      <c r="B4137" s="4" t="str">
        <f>"2020031813"</f>
        <v>2020031813</v>
      </c>
      <c r="C4137" s="5">
        <v>0</v>
      </c>
      <c r="D4137" s="6">
        <v>0</v>
      </c>
      <c r="E4137" s="7">
        <f t="shared" si="64"/>
        <v>0</v>
      </c>
      <c r="F4137" s="8" t="s">
        <v>8</v>
      </c>
    </row>
    <row r="4138" spans="1:6" ht="18" customHeight="1">
      <c r="A4138" s="4" t="s">
        <v>135</v>
      </c>
      <c r="B4138" s="4" t="str">
        <f>"2020031907"</f>
        <v>2020031907</v>
      </c>
      <c r="C4138" s="5">
        <v>0</v>
      </c>
      <c r="D4138" s="6">
        <v>0</v>
      </c>
      <c r="E4138" s="7">
        <f t="shared" si="64"/>
        <v>0</v>
      </c>
      <c r="F4138" s="8" t="s">
        <v>8</v>
      </c>
    </row>
    <row r="4139" spans="1:6" ht="18" customHeight="1">
      <c r="A4139" s="4" t="s">
        <v>135</v>
      </c>
      <c r="B4139" s="4" t="str">
        <f>"2020032118"</f>
        <v>2020032118</v>
      </c>
      <c r="C4139" s="5">
        <v>0</v>
      </c>
      <c r="D4139" s="6">
        <v>0</v>
      </c>
      <c r="E4139" s="7">
        <f t="shared" si="64"/>
        <v>0</v>
      </c>
      <c r="F4139" s="8" t="s">
        <v>8</v>
      </c>
    </row>
    <row r="4140" spans="1:6" ht="18" customHeight="1">
      <c r="A4140" s="4" t="s">
        <v>135</v>
      </c>
      <c r="B4140" s="4" t="str">
        <f>"2020032210"</f>
        <v>2020032210</v>
      </c>
      <c r="C4140" s="5">
        <v>0</v>
      </c>
      <c r="D4140" s="6">
        <v>0</v>
      </c>
      <c r="E4140" s="7">
        <f t="shared" si="64"/>
        <v>0</v>
      </c>
      <c r="F4140" s="8" t="s">
        <v>8</v>
      </c>
    </row>
    <row r="4141" spans="1:6" ht="18" customHeight="1">
      <c r="A4141" s="4" t="s">
        <v>135</v>
      </c>
      <c r="B4141" s="4" t="str">
        <f>"2020032521"</f>
        <v>2020032521</v>
      </c>
      <c r="C4141" s="5">
        <v>0</v>
      </c>
      <c r="D4141" s="6">
        <v>0</v>
      </c>
      <c r="E4141" s="7">
        <f t="shared" si="64"/>
        <v>0</v>
      </c>
      <c r="F4141" s="8" t="s">
        <v>8</v>
      </c>
    </row>
    <row r="4142" spans="1:6" ht="18" customHeight="1">
      <c r="A4142" s="4" t="s">
        <v>135</v>
      </c>
      <c r="B4142" s="4" t="str">
        <f>"2020032717"</f>
        <v>2020032717</v>
      </c>
      <c r="C4142" s="5">
        <v>0</v>
      </c>
      <c r="D4142" s="6">
        <v>0</v>
      </c>
      <c r="E4142" s="7">
        <f t="shared" si="64"/>
        <v>0</v>
      </c>
      <c r="F4142" s="8" t="s">
        <v>8</v>
      </c>
    </row>
    <row r="4143" spans="1:6" ht="18" customHeight="1">
      <c r="A4143" s="4" t="s">
        <v>135</v>
      </c>
      <c r="B4143" s="4" t="str">
        <f>"2020032726"</f>
        <v>2020032726</v>
      </c>
      <c r="C4143" s="5">
        <v>0</v>
      </c>
      <c r="D4143" s="6">
        <v>0</v>
      </c>
      <c r="E4143" s="7">
        <f t="shared" si="64"/>
        <v>0</v>
      </c>
      <c r="F4143" s="8" t="s">
        <v>8</v>
      </c>
    </row>
    <row r="4144" spans="1:6" ht="18" customHeight="1">
      <c r="A4144" s="4" t="s">
        <v>135</v>
      </c>
      <c r="B4144" s="4" t="str">
        <f>"2020032928"</f>
        <v>2020032928</v>
      </c>
      <c r="C4144" s="5">
        <v>0</v>
      </c>
      <c r="D4144" s="6">
        <v>0</v>
      </c>
      <c r="E4144" s="7">
        <f t="shared" si="64"/>
        <v>0</v>
      </c>
      <c r="F4144" s="8" t="s">
        <v>8</v>
      </c>
    </row>
    <row r="4145" spans="1:6" ht="18" customHeight="1">
      <c r="A4145" s="4" t="s">
        <v>135</v>
      </c>
      <c r="B4145" s="4" t="str">
        <f>"2020033213"</f>
        <v>2020033213</v>
      </c>
      <c r="C4145" s="5">
        <v>0</v>
      </c>
      <c r="D4145" s="6">
        <v>0</v>
      </c>
      <c r="E4145" s="7">
        <f t="shared" si="64"/>
        <v>0</v>
      </c>
      <c r="F4145" s="8" t="s">
        <v>8</v>
      </c>
    </row>
    <row r="4146" spans="1:6" ht="18" customHeight="1">
      <c r="A4146" s="4" t="s">
        <v>135</v>
      </c>
      <c r="B4146" s="4" t="str">
        <f>"2020033319"</f>
        <v>2020033319</v>
      </c>
      <c r="C4146" s="5">
        <v>0</v>
      </c>
      <c r="D4146" s="6">
        <v>0</v>
      </c>
      <c r="E4146" s="7">
        <f t="shared" si="64"/>
        <v>0</v>
      </c>
      <c r="F4146" s="8" t="s">
        <v>8</v>
      </c>
    </row>
    <row r="4147" spans="1:6" ht="18" customHeight="1">
      <c r="A4147" s="4" t="s">
        <v>135</v>
      </c>
      <c r="B4147" s="4" t="str">
        <f>"2020033922"</f>
        <v>2020033922</v>
      </c>
      <c r="C4147" s="5">
        <v>0</v>
      </c>
      <c r="D4147" s="6">
        <v>0</v>
      </c>
      <c r="E4147" s="7">
        <f t="shared" si="64"/>
        <v>0</v>
      </c>
      <c r="F4147" s="8" t="s">
        <v>8</v>
      </c>
    </row>
    <row r="4148" spans="1:6" ht="18" customHeight="1">
      <c r="A4148" s="4" t="s">
        <v>135</v>
      </c>
      <c r="B4148" s="4" t="str">
        <f>"2020034005"</f>
        <v>2020034005</v>
      </c>
      <c r="C4148" s="5">
        <v>0</v>
      </c>
      <c r="D4148" s="6">
        <v>0</v>
      </c>
      <c r="E4148" s="7">
        <f t="shared" si="64"/>
        <v>0</v>
      </c>
      <c r="F4148" s="8" t="s">
        <v>8</v>
      </c>
    </row>
    <row r="4149" spans="1:6" ht="18" customHeight="1">
      <c r="A4149" s="4" t="s">
        <v>135</v>
      </c>
      <c r="B4149" s="4" t="str">
        <f>"2020040104"</f>
        <v>2020040104</v>
      </c>
      <c r="C4149" s="5">
        <v>0</v>
      </c>
      <c r="D4149" s="6">
        <v>0</v>
      </c>
      <c r="E4149" s="7">
        <f t="shared" si="64"/>
        <v>0</v>
      </c>
      <c r="F4149" s="8" t="s">
        <v>8</v>
      </c>
    </row>
    <row r="4150" spans="1:6" ht="18" customHeight="1">
      <c r="A4150" s="4" t="s">
        <v>135</v>
      </c>
      <c r="B4150" s="4" t="str">
        <f>"2020040325"</f>
        <v>2020040325</v>
      </c>
      <c r="C4150" s="5">
        <v>0</v>
      </c>
      <c r="D4150" s="6">
        <v>0</v>
      </c>
      <c r="E4150" s="7">
        <f t="shared" si="64"/>
        <v>0</v>
      </c>
      <c r="F4150" s="8" t="s">
        <v>8</v>
      </c>
    </row>
    <row r="4151" spans="1:6" ht="18" customHeight="1">
      <c r="A4151" s="4" t="s">
        <v>135</v>
      </c>
      <c r="B4151" s="4" t="str">
        <f>"2020040720"</f>
        <v>2020040720</v>
      </c>
      <c r="C4151" s="5">
        <v>0</v>
      </c>
      <c r="D4151" s="6">
        <v>0</v>
      </c>
      <c r="E4151" s="7">
        <f t="shared" si="64"/>
        <v>0</v>
      </c>
      <c r="F4151" s="8" t="s">
        <v>8</v>
      </c>
    </row>
    <row r="4152" spans="1:6" ht="18" customHeight="1">
      <c r="A4152" s="4" t="s">
        <v>135</v>
      </c>
      <c r="B4152" s="4" t="str">
        <f>"2020040814"</f>
        <v>2020040814</v>
      </c>
      <c r="C4152" s="5">
        <v>0</v>
      </c>
      <c r="D4152" s="6">
        <v>0</v>
      </c>
      <c r="E4152" s="7">
        <f t="shared" si="64"/>
        <v>0</v>
      </c>
      <c r="F4152" s="8" t="s">
        <v>8</v>
      </c>
    </row>
    <row r="4153" spans="1:6" ht="18" customHeight="1">
      <c r="A4153" s="4" t="s">
        <v>135</v>
      </c>
      <c r="B4153" s="4" t="str">
        <f>"2020041019"</f>
        <v>2020041019</v>
      </c>
      <c r="C4153" s="5">
        <v>0</v>
      </c>
      <c r="D4153" s="6">
        <v>0</v>
      </c>
      <c r="E4153" s="7">
        <f t="shared" si="64"/>
        <v>0</v>
      </c>
      <c r="F4153" s="8" t="s">
        <v>8</v>
      </c>
    </row>
    <row r="4154" spans="1:6" ht="18" customHeight="1">
      <c r="A4154" s="4" t="s">
        <v>135</v>
      </c>
      <c r="B4154" s="4" t="str">
        <f>"2020041029"</f>
        <v>2020041029</v>
      </c>
      <c r="C4154" s="5">
        <v>0</v>
      </c>
      <c r="D4154" s="6">
        <v>0</v>
      </c>
      <c r="E4154" s="7">
        <f t="shared" si="64"/>
        <v>0</v>
      </c>
      <c r="F4154" s="8" t="s">
        <v>8</v>
      </c>
    </row>
    <row r="4155" spans="1:6" ht="18" customHeight="1">
      <c r="A4155" s="4" t="s">
        <v>135</v>
      </c>
      <c r="B4155" s="4" t="str">
        <f>"2020041102"</f>
        <v>2020041102</v>
      </c>
      <c r="C4155" s="5">
        <v>0</v>
      </c>
      <c r="D4155" s="6">
        <v>0</v>
      </c>
      <c r="E4155" s="7">
        <f t="shared" si="64"/>
        <v>0</v>
      </c>
      <c r="F4155" s="8" t="s">
        <v>8</v>
      </c>
    </row>
    <row r="4156" spans="1:6" ht="18" customHeight="1">
      <c r="A4156" s="4" t="s">
        <v>135</v>
      </c>
      <c r="B4156" s="4" t="str">
        <f>"2020041528"</f>
        <v>2020041528</v>
      </c>
      <c r="C4156" s="5">
        <v>0</v>
      </c>
      <c r="D4156" s="6">
        <v>0</v>
      </c>
      <c r="E4156" s="7">
        <f t="shared" si="64"/>
        <v>0</v>
      </c>
      <c r="F4156" s="8" t="s">
        <v>8</v>
      </c>
    </row>
    <row r="4157" spans="1:6" ht="18" customHeight="1">
      <c r="A4157" s="4" t="s">
        <v>135</v>
      </c>
      <c r="B4157" s="4" t="str">
        <f>"2020041708"</f>
        <v>2020041708</v>
      </c>
      <c r="C4157" s="5">
        <v>0</v>
      </c>
      <c r="D4157" s="6">
        <v>0</v>
      </c>
      <c r="E4157" s="7">
        <f t="shared" si="64"/>
        <v>0</v>
      </c>
      <c r="F4157" s="8" t="s">
        <v>8</v>
      </c>
    </row>
    <row r="4158" spans="1:6" ht="18" customHeight="1">
      <c r="A4158" s="4" t="s">
        <v>135</v>
      </c>
      <c r="B4158" s="4" t="str">
        <f>"2020041924"</f>
        <v>2020041924</v>
      </c>
      <c r="C4158" s="5">
        <v>0</v>
      </c>
      <c r="D4158" s="6">
        <v>0</v>
      </c>
      <c r="E4158" s="7">
        <f t="shared" si="64"/>
        <v>0</v>
      </c>
      <c r="F4158" s="8" t="s">
        <v>8</v>
      </c>
    </row>
    <row r="4159" spans="1:6" ht="18" customHeight="1">
      <c r="A4159" s="4" t="s">
        <v>135</v>
      </c>
      <c r="B4159" s="4" t="str">
        <f>"2020042313"</f>
        <v>2020042313</v>
      </c>
      <c r="C4159" s="5">
        <v>0</v>
      </c>
      <c r="D4159" s="6">
        <v>0</v>
      </c>
      <c r="E4159" s="7">
        <f t="shared" si="64"/>
        <v>0</v>
      </c>
      <c r="F4159" s="8" t="s">
        <v>8</v>
      </c>
    </row>
    <row r="4160" spans="1:6" ht="18" customHeight="1">
      <c r="A4160" s="4" t="s">
        <v>135</v>
      </c>
      <c r="B4160" s="4" t="str">
        <f>"2020042618"</f>
        <v>2020042618</v>
      </c>
      <c r="C4160" s="5">
        <v>0</v>
      </c>
      <c r="D4160" s="6">
        <v>0</v>
      </c>
      <c r="E4160" s="7">
        <f t="shared" si="64"/>
        <v>0</v>
      </c>
      <c r="F4160" s="8" t="s">
        <v>8</v>
      </c>
    </row>
    <row r="4161" spans="1:6" ht="18" customHeight="1">
      <c r="A4161" s="4" t="s">
        <v>135</v>
      </c>
      <c r="B4161" s="4" t="str">
        <f>"2020043116"</f>
        <v>2020043116</v>
      </c>
      <c r="C4161" s="5">
        <v>0</v>
      </c>
      <c r="D4161" s="6">
        <v>0</v>
      </c>
      <c r="E4161" s="7">
        <f t="shared" si="64"/>
        <v>0</v>
      </c>
      <c r="F4161" s="8" t="s">
        <v>8</v>
      </c>
    </row>
    <row r="4162" spans="1:6" ht="18" customHeight="1">
      <c r="A4162" s="4" t="s">
        <v>135</v>
      </c>
      <c r="B4162" s="4" t="str">
        <f>"2020043510"</f>
        <v>2020043510</v>
      </c>
      <c r="C4162" s="5">
        <v>0</v>
      </c>
      <c r="D4162" s="6">
        <v>0</v>
      </c>
      <c r="E4162" s="7">
        <f t="shared" si="64"/>
        <v>0</v>
      </c>
      <c r="F4162" s="8" t="s">
        <v>8</v>
      </c>
    </row>
    <row r="4163" spans="1:6" ht="18" customHeight="1">
      <c r="A4163" s="4" t="s">
        <v>135</v>
      </c>
      <c r="B4163" s="4" t="str">
        <f>"2020043828"</f>
        <v>2020043828</v>
      </c>
      <c r="C4163" s="5">
        <v>0</v>
      </c>
      <c r="D4163" s="6">
        <v>0</v>
      </c>
      <c r="E4163" s="7">
        <f t="shared" ref="E4163:E4226" si="65">SUM(C4163:D4163)</f>
        <v>0</v>
      </c>
      <c r="F4163" s="8" t="s">
        <v>8</v>
      </c>
    </row>
    <row r="4164" spans="1:6" ht="18" customHeight="1">
      <c r="A4164" s="4" t="s">
        <v>135</v>
      </c>
      <c r="B4164" s="4" t="str">
        <f>"2020043914"</f>
        <v>2020043914</v>
      </c>
      <c r="C4164" s="5">
        <v>0</v>
      </c>
      <c r="D4164" s="6">
        <v>0</v>
      </c>
      <c r="E4164" s="7">
        <f t="shared" si="65"/>
        <v>0</v>
      </c>
      <c r="F4164" s="8" t="s">
        <v>8</v>
      </c>
    </row>
    <row r="4165" spans="1:6" ht="18" customHeight="1">
      <c r="A4165" s="4" t="s">
        <v>135</v>
      </c>
      <c r="B4165" s="4" t="str">
        <f>"2020043925"</f>
        <v>2020043925</v>
      </c>
      <c r="C4165" s="5">
        <v>0</v>
      </c>
      <c r="D4165" s="6">
        <v>0</v>
      </c>
      <c r="E4165" s="7">
        <f t="shared" si="65"/>
        <v>0</v>
      </c>
      <c r="F4165" s="8" t="s">
        <v>8</v>
      </c>
    </row>
    <row r="4166" spans="1:6" ht="18" customHeight="1">
      <c r="A4166" s="4" t="s">
        <v>135</v>
      </c>
      <c r="B4166" s="4" t="str">
        <f>"2020044008"</f>
        <v>2020044008</v>
      </c>
      <c r="C4166" s="5">
        <v>0</v>
      </c>
      <c r="D4166" s="6">
        <v>0</v>
      </c>
      <c r="E4166" s="7">
        <f t="shared" si="65"/>
        <v>0</v>
      </c>
      <c r="F4166" s="8" t="s">
        <v>8</v>
      </c>
    </row>
    <row r="4167" spans="1:6" ht="18" customHeight="1">
      <c r="A4167" s="4" t="s">
        <v>135</v>
      </c>
      <c r="B4167" s="4" t="str">
        <f>"2020044129"</f>
        <v>2020044129</v>
      </c>
      <c r="C4167" s="5">
        <v>0</v>
      </c>
      <c r="D4167" s="6">
        <v>0</v>
      </c>
      <c r="E4167" s="7">
        <f t="shared" si="65"/>
        <v>0</v>
      </c>
      <c r="F4167" s="8" t="s">
        <v>8</v>
      </c>
    </row>
    <row r="4168" spans="1:6" ht="18" customHeight="1">
      <c r="A4168" s="4" t="s">
        <v>135</v>
      </c>
      <c r="B4168" s="4" t="str">
        <f>"2020044404"</f>
        <v>2020044404</v>
      </c>
      <c r="C4168" s="5">
        <v>0</v>
      </c>
      <c r="D4168" s="6">
        <v>0</v>
      </c>
      <c r="E4168" s="7">
        <f t="shared" si="65"/>
        <v>0</v>
      </c>
      <c r="F4168" s="8" t="s">
        <v>8</v>
      </c>
    </row>
    <row r="4169" spans="1:6" ht="18" customHeight="1">
      <c r="A4169" s="4" t="s">
        <v>135</v>
      </c>
      <c r="B4169" s="4" t="str">
        <f>"2020044706"</f>
        <v>2020044706</v>
      </c>
      <c r="C4169" s="5">
        <v>0</v>
      </c>
      <c r="D4169" s="6">
        <v>0</v>
      </c>
      <c r="E4169" s="7">
        <f t="shared" si="65"/>
        <v>0</v>
      </c>
      <c r="F4169" s="8" t="s">
        <v>8</v>
      </c>
    </row>
    <row r="4170" spans="1:6" ht="18" customHeight="1">
      <c r="A4170" s="4" t="s">
        <v>135</v>
      </c>
      <c r="B4170" s="4" t="str">
        <f>"2020044812"</f>
        <v>2020044812</v>
      </c>
      <c r="C4170" s="5">
        <v>0</v>
      </c>
      <c r="D4170" s="6">
        <v>0</v>
      </c>
      <c r="E4170" s="7">
        <f t="shared" si="65"/>
        <v>0</v>
      </c>
      <c r="F4170" s="8" t="s">
        <v>8</v>
      </c>
    </row>
    <row r="4171" spans="1:6" ht="18" customHeight="1">
      <c r="A4171" s="4" t="s">
        <v>135</v>
      </c>
      <c r="B4171" s="4" t="str">
        <f>"2020045208"</f>
        <v>2020045208</v>
      </c>
      <c r="C4171" s="5">
        <v>0</v>
      </c>
      <c r="D4171" s="6">
        <v>0</v>
      </c>
      <c r="E4171" s="7">
        <f t="shared" si="65"/>
        <v>0</v>
      </c>
      <c r="F4171" s="8" t="s">
        <v>8</v>
      </c>
    </row>
    <row r="4172" spans="1:6" ht="18" customHeight="1">
      <c r="A4172" s="4" t="s">
        <v>135</v>
      </c>
      <c r="B4172" s="4" t="str">
        <f>"2020045410"</f>
        <v>2020045410</v>
      </c>
      <c r="C4172" s="5">
        <v>0</v>
      </c>
      <c r="D4172" s="6">
        <v>0</v>
      </c>
      <c r="E4172" s="7">
        <f t="shared" si="65"/>
        <v>0</v>
      </c>
      <c r="F4172" s="8" t="s">
        <v>8</v>
      </c>
    </row>
    <row r="4173" spans="1:6" ht="18" customHeight="1">
      <c r="A4173" s="4" t="s">
        <v>135</v>
      </c>
      <c r="B4173" s="4" t="str">
        <f>"2020045503"</f>
        <v>2020045503</v>
      </c>
      <c r="C4173" s="5">
        <v>0</v>
      </c>
      <c r="D4173" s="6">
        <v>0</v>
      </c>
      <c r="E4173" s="7">
        <f t="shared" si="65"/>
        <v>0</v>
      </c>
      <c r="F4173" s="8" t="s">
        <v>8</v>
      </c>
    </row>
    <row r="4174" spans="1:6" ht="18" customHeight="1">
      <c r="A4174" s="4" t="s">
        <v>135</v>
      </c>
      <c r="B4174" s="4" t="str">
        <f>"2020046314"</f>
        <v>2020046314</v>
      </c>
      <c r="C4174" s="5">
        <v>0</v>
      </c>
      <c r="D4174" s="6">
        <v>0</v>
      </c>
      <c r="E4174" s="7">
        <f t="shared" si="65"/>
        <v>0</v>
      </c>
      <c r="F4174" s="8" t="s">
        <v>8</v>
      </c>
    </row>
    <row r="4175" spans="1:6" ht="18" customHeight="1">
      <c r="A4175" s="4" t="s">
        <v>135</v>
      </c>
      <c r="B4175" s="4" t="str">
        <f>"2020047203"</f>
        <v>2020047203</v>
      </c>
      <c r="C4175" s="5">
        <v>0</v>
      </c>
      <c r="D4175" s="6">
        <v>0</v>
      </c>
      <c r="E4175" s="7">
        <f t="shared" si="65"/>
        <v>0</v>
      </c>
      <c r="F4175" s="8" t="s">
        <v>8</v>
      </c>
    </row>
    <row r="4176" spans="1:6" ht="18" customHeight="1">
      <c r="A4176" s="4" t="s">
        <v>135</v>
      </c>
      <c r="B4176" s="4" t="str">
        <f>"2020047217"</f>
        <v>2020047217</v>
      </c>
      <c r="C4176" s="5">
        <v>0</v>
      </c>
      <c r="D4176" s="6">
        <v>0</v>
      </c>
      <c r="E4176" s="7">
        <f t="shared" si="65"/>
        <v>0</v>
      </c>
      <c r="F4176" s="8" t="s">
        <v>8</v>
      </c>
    </row>
    <row r="4177" spans="1:6" ht="18" customHeight="1">
      <c r="A4177" s="4" t="s">
        <v>135</v>
      </c>
      <c r="B4177" s="4" t="str">
        <f>"2020047417"</f>
        <v>2020047417</v>
      </c>
      <c r="C4177" s="5">
        <v>0</v>
      </c>
      <c r="D4177" s="6">
        <v>0</v>
      </c>
      <c r="E4177" s="7">
        <f t="shared" si="65"/>
        <v>0</v>
      </c>
      <c r="F4177" s="8" t="s">
        <v>8</v>
      </c>
    </row>
    <row r="4178" spans="1:6" ht="18" customHeight="1">
      <c r="A4178" s="4" t="s">
        <v>135</v>
      </c>
      <c r="B4178" s="4" t="str">
        <f>"2020047508"</f>
        <v>2020047508</v>
      </c>
      <c r="C4178" s="5">
        <v>0</v>
      </c>
      <c r="D4178" s="6">
        <v>0</v>
      </c>
      <c r="E4178" s="7">
        <f t="shared" si="65"/>
        <v>0</v>
      </c>
      <c r="F4178" s="8" t="s">
        <v>8</v>
      </c>
    </row>
    <row r="4179" spans="1:6" ht="18" customHeight="1">
      <c r="A4179" s="4" t="s">
        <v>135</v>
      </c>
      <c r="B4179" s="4" t="str">
        <f>"2020047518"</f>
        <v>2020047518</v>
      </c>
      <c r="C4179" s="5">
        <v>0</v>
      </c>
      <c r="D4179" s="6">
        <v>0</v>
      </c>
      <c r="E4179" s="7">
        <f t="shared" si="65"/>
        <v>0</v>
      </c>
      <c r="F4179" s="8" t="s">
        <v>8</v>
      </c>
    </row>
    <row r="4180" spans="1:6" ht="18" customHeight="1">
      <c r="A4180" s="4" t="s">
        <v>135</v>
      </c>
      <c r="B4180" s="4" t="str">
        <f>"2020047610"</f>
        <v>2020047610</v>
      </c>
      <c r="C4180" s="5">
        <v>0</v>
      </c>
      <c r="D4180" s="6">
        <v>0</v>
      </c>
      <c r="E4180" s="7">
        <f t="shared" si="65"/>
        <v>0</v>
      </c>
      <c r="F4180" s="8" t="s">
        <v>8</v>
      </c>
    </row>
    <row r="4181" spans="1:6" ht="18" customHeight="1">
      <c r="A4181" s="4" t="s">
        <v>136</v>
      </c>
      <c r="B4181" s="4" t="str">
        <f>"2020046620"</f>
        <v>2020046620</v>
      </c>
      <c r="C4181" s="5">
        <v>76.099999999999994</v>
      </c>
      <c r="D4181" s="6">
        <v>85</v>
      </c>
      <c r="E4181" s="7">
        <f t="shared" si="65"/>
        <v>161.1</v>
      </c>
      <c r="F4181" s="8"/>
    </row>
    <row r="4182" spans="1:6" ht="18" customHeight="1">
      <c r="A4182" s="4" t="s">
        <v>136</v>
      </c>
      <c r="B4182" s="4" t="str">
        <f>"2020030702"</f>
        <v>2020030702</v>
      </c>
      <c r="C4182" s="5">
        <v>70.900000000000006</v>
      </c>
      <c r="D4182" s="6">
        <v>87</v>
      </c>
      <c r="E4182" s="7">
        <f t="shared" si="65"/>
        <v>157.9</v>
      </c>
      <c r="F4182" s="8"/>
    </row>
    <row r="4183" spans="1:6" ht="18" customHeight="1">
      <c r="A4183" s="4" t="s">
        <v>136</v>
      </c>
      <c r="B4183" s="4" t="str">
        <f>"2020011012"</f>
        <v>2020011012</v>
      </c>
      <c r="C4183" s="5">
        <v>75.900000000000006</v>
      </c>
      <c r="D4183" s="6">
        <v>77.5</v>
      </c>
      <c r="E4183" s="7">
        <f t="shared" si="65"/>
        <v>153.4</v>
      </c>
      <c r="F4183" s="8"/>
    </row>
    <row r="4184" spans="1:6" ht="18" customHeight="1">
      <c r="A4184" s="4" t="s">
        <v>136</v>
      </c>
      <c r="B4184" s="4" t="str">
        <f>"2020047527"</f>
        <v>2020047527</v>
      </c>
      <c r="C4184" s="5">
        <v>71.7</v>
      </c>
      <c r="D4184" s="6">
        <v>80</v>
      </c>
      <c r="E4184" s="7">
        <f t="shared" si="65"/>
        <v>151.69999999999999</v>
      </c>
      <c r="F4184" s="8"/>
    </row>
    <row r="4185" spans="1:6" ht="18" customHeight="1">
      <c r="A4185" s="4" t="s">
        <v>136</v>
      </c>
      <c r="B4185" s="4" t="str">
        <f>"2020020720"</f>
        <v>2020020720</v>
      </c>
      <c r="C4185" s="5">
        <v>72.599999999999994</v>
      </c>
      <c r="D4185" s="6">
        <v>78</v>
      </c>
      <c r="E4185" s="7">
        <f t="shared" si="65"/>
        <v>150.6</v>
      </c>
      <c r="F4185" s="8"/>
    </row>
    <row r="4186" spans="1:6" ht="18" customHeight="1">
      <c r="A4186" s="4" t="s">
        <v>136</v>
      </c>
      <c r="B4186" s="4" t="str">
        <f>"2020011218"</f>
        <v>2020011218</v>
      </c>
      <c r="C4186" s="5">
        <v>72.8</v>
      </c>
      <c r="D4186" s="6">
        <v>77</v>
      </c>
      <c r="E4186" s="7">
        <f t="shared" si="65"/>
        <v>149.80000000000001</v>
      </c>
      <c r="F4186" s="8"/>
    </row>
    <row r="4187" spans="1:6" ht="18" customHeight="1">
      <c r="A4187" s="4" t="s">
        <v>136</v>
      </c>
      <c r="B4187" s="4" t="str">
        <f>"2020040220"</f>
        <v>2020040220</v>
      </c>
      <c r="C4187" s="5">
        <v>72.8</v>
      </c>
      <c r="D4187" s="6">
        <v>76.5</v>
      </c>
      <c r="E4187" s="7">
        <f t="shared" si="65"/>
        <v>149.30000000000001</v>
      </c>
      <c r="F4187" s="8"/>
    </row>
    <row r="4188" spans="1:6" ht="18" customHeight="1">
      <c r="A4188" s="4" t="s">
        <v>136</v>
      </c>
      <c r="B4188" s="4" t="str">
        <f>"2020013304"</f>
        <v>2020013304</v>
      </c>
      <c r="C4188" s="5">
        <v>71.8</v>
      </c>
      <c r="D4188" s="6">
        <v>77</v>
      </c>
      <c r="E4188" s="7">
        <f t="shared" si="65"/>
        <v>148.80000000000001</v>
      </c>
      <c r="F4188" s="8"/>
    </row>
    <row r="4189" spans="1:6" ht="18" customHeight="1">
      <c r="A4189" s="4" t="s">
        <v>136</v>
      </c>
      <c r="B4189" s="4" t="str">
        <f>"2020024302"</f>
        <v>2020024302</v>
      </c>
      <c r="C4189" s="5">
        <v>70.3</v>
      </c>
      <c r="D4189" s="6">
        <v>74.5</v>
      </c>
      <c r="E4189" s="7">
        <f t="shared" si="65"/>
        <v>144.80000000000001</v>
      </c>
      <c r="F4189" s="8"/>
    </row>
    <row r="4190" spans="1:6" ht="18" customHeight="1">
      <c r="A4190" s="4" t="s">
        <v>136</v>
      </c>
      <c r="B4190" s="4" t="str">
        <f>"2020012006"</f>
        <v>2020012006</v>
      </c>
      <c r="C4190" s="5">
        <v>65.099999999999994</v>
      </c>
      <c r="D4190" s="6">
        <v>79.5</v>
      </c>
      <c r="E4190" s="7">
        <f t="shared" si="65"/>
        <v>144.6</v>
      </c>
      <c r="F4190" s="8"/>
    </row>
    <row r="4191" spans="1:6" ht="18" customHeight="1">
      <c r="A4191" s="4" t="s">
        <v>136</v>
      </c>
      <c r="B4191" s="4" t="str">
        <f>"2020011213"</f>
        <v>2020011213</v>
      </c>
      <c r="C4191" s="5">
        <v>72.400000000000006</v>
      </c>
      <c r="D4191" s="6">
        <v>72</v>
      </c>
      <c r="E4191" s="7">
        <f t="shared" si="65"/>
        <v>144.4</v>
      </c>
      <c r="F4191" s="8"/>
    </row>
    <row r="4192" spans="1:6" ht="18" customHeight="1">
      <c r="A4192" s="4" t="s">
        <v>136</v>
      </c>
      <c r="B4192" s="4" t="str">
        <f>"2020010923"</f>
        <v>2020010923</v>
      </c>
      <c r="C4192" s="5">
        <v>74.5</v>
      </c>
      <c r="D4192" s="6">
        <v>69.5</v>
      </c>
      <c r="E4192" s="7">
        <f t="shared" si="65"/>
        <v>144</v>
      </c>
      <c r="F4192" s="8"/>
    </row>
    <row r="4193" spans="1:6" ht="18" customHeight="1">
      <c r="A4193" s="4" t="s">
        <v>136</v>
      </c>
      <c r="B4193" s="4" t="str">
        <f>"2020043724"</f>
        <v>2020043724</v>
      </c>
      <c r="C4193" s="5">
        <v>68.599999999999994</v>
      </c>
      <c r="D4193" s="6">
        <v>74.5</v>
      </c>
      <c r="E4193" s="7">
        <f t="shared" si="65"/>
        <v>143.1</v>
      </c>
      <c r="F4193" s="8"/>
    </row>
    <row r="4194" spans="1:6" ht="18" customHeight="1">
      <c r="A4194" s="4" t="s">
        <v>136</v>
      </c>
      <c r="B4194" s="4" t="str">
        <f>"2020043909"</f>
        <v>2020043909</v>
      </c>
      <c r="C4194" s="5">
        <v>71.599999999999994</v>
      </c>
      <c r="D4194" s="6">
        <v>71</v>
      </c>
      <c r="E4194" s="7">
        <f t="shared" si="65"/>
        <v>142.6</v>
      </c>
      <c r="F4194" s="8"/>
    </row>
    <row r="4195" spans="1:6" ht="18" customHeight="1">
      <c r="A4195" s="4" t="s">
        <v>136</v>
      </c>
      <c r="B4195" s="4" t="str">
        <f>"2020045630"</f>
        <v>2020045630</v>
      </c>
      <c r="C4195" s="5">
        <v>72.3</v>
      </c>
      <c r="D4195" s="6">
        <v>70</v>
      </c>
      <c r="E4195" s="7">
        <f t="shared" si="65"/>
        <v>142.30000000000001</v>
      </c>
      <c r="F4195" s="8"/>
    </row>
    <row r="4196" spans="1:6" ht="18" customHeight="1">
      <c r="A4196" s="4" t="s">
        <v>136</v>
      </c>
      <c r="B4196" s="4" t="str">
        <f>"2020020718"</f>
        <v>2020020718</v>
      </c>
      <c r="C4196" s="5">
        <v>67.3</v>
      </c>
      <c r="D4196" s="6">
        <v>74.5</v>
      </c>
      <c r="E4196" s="7">
        <f t="shared" si="65"/>
        <v>141.80000000000001</v>
      </c>
      <c r="F4196" s="8"/>
    </row>
    <row r="4197" spans="1:6" ht="18" customHeight="1">
      <c r="A4197" s="4" t="s">
        <v>136</v>
      </c>
      <c r="B4197" s="4" t="str">
        <f>"2020045516"</f>
        <v>2020045516</v>
      </c>
      <c r="C4197" s="5">
        <v>62.8</v>
      </c>
      <c r="D4197" s="6">
        <v>79</v>
      </c>
      <c r="E4197" s="7">
        <f t="shared" si="65"/>
        <v>141.80000000000001</v>
      </c>
      <c r="F4197" s="8"/>
    </row>
    <row r="4198" spans="1:6" ht="18" customHeight="1">
      <c r="A4198" s="4" t="s">
        <v>136</v>
      </c>
      <c r="B4198" s="4" t="str">
        <f>"2020022219"</f>
        <v>2020022219</v>
      </c>
      <c r="C4198" s="5">
        <v>65.8</v>
      </c>
      <c r="D4198" s="6">
        <v>75</v>
      </c>
      <c r="E4198" s="7">
        <f t="shared" si="65"/>
        <v>140.80000000000001</v>
      </c>
      <c r="F4198" s="8"/>
    </row>
    <row r="4199" spans="1:6" ht="18" customHeight="1">
      <c r="A4199" s="4" t="s">
        <v>136</v>
      </c>
      <c r="B4199" s="4" t="str">
        <f>"2020031919"</f>
        <v>2020031919</v>
      </c>
      <c r="C4199" s="5">
        <v>69.5</v>
      </c>
      <c r="D4199" s="6">
        <v>71</v>
      </c>
      <c r="E4199" s="7">
        <f t="shared" si="65"/>
        <v>140.5</v>
      </c>
      <c r="F4199" s="8"/>
    </row>
    <row r="4200" spans="1:6" ht="18" customHeight="1">
      <c r="A4200" s="4" t="s">
        <v>136</v>
      </c>
      <c r="B4200" s="4" t="str">
        <f>"2020030927"</f>
        <v>2020030927</v>
      </c>
      <c r="C4200" s="5">
        <v>66.3</v>
      </c>
      <c r="D4200" s="6">
        <v>73.5</v>
      </c>
      <c r="E4200" s="7">
        <f t="shared" si="65"/>
        <v>139.80000000000001</v>
      </c>
      <c r="F4200" s="8"/>
    </row>
    <row r="4201" spans="1:6" ht="18" customHeight="1">
      <c r="A4201" s="4" t="s">
        <v>136</v>
      </c>
      <c r="B4201" s="4" t="str">
        <f>"2020040730"</f>
        <v>2020040730</v>
      </c>
      <c r="C4201" s="5">
        <v>65.8</v>
      </c>
      <c r="D4201" s="6">
        <v>74</v>
      </c>
      <c r="E4201" s="7">
        <f t="shared" si="65"/>
        <v>139.80000000000001</v>
      </c>
      <c r="F4201" s="8"/>
    </row>
    <row r="4202" spans="1:6" ht="18" customHeight="1">
      <c r="A4202" s="4" t="s">
        <v>136</v>
      </c>
      <c r="B4202" s="4" t="str">
        <f>"2020041530"</f>
        <v>2020041530</v>
      </c>
      <c r="C4202" s="5">
        <v>69.900000000000006</v>
      </c>
      <c r="D4202" s="6">
        <v>69.5</v>
      </c>
      <c r="E4202" s="7">
        <f t="shared" si="65"/>
        <v>139.4</v>
      </c>
      <c r="F4202" s="8"/>
    </row>
    <row r="4203" spans="1:6" ht="18" customHeight="1">
      <c r="A4203" s="4" t="s">
        <v>136</v>
      </c>
      <c r="B4203" s="4" t="str">
        <f>"2020032319"</f>
        <v>2020032319</v>
      </c>
      <c r="C4203" s="5">
        <v>70.900000000000006</v>
      </c>
      <c r="D4203" s="6">
        <v>68</v>
      </c>
      <c r="E4203" s="7">
        <f t="shared" si="65"/>
        <v>138.9</v>
      </c>
      <c r="F4203" s="8"/>
    </row>
    <row r="4204" spans="1:6" ht="18" customHeight="1">
      <c r="A4204" s="4" t="s">
        <v>136</v>
      </c>
      <c r="B4204" s="4" t="str">
        <f>"2020047618"</f>
        <v>2020047618</v>
      </c>
      <c r="C4204" s="5">
        <v>63.8</v>
      </c>
      <c r="D4204" s="6">
        <v>75</v>
      </c>
      <c r="E4204" s="7">
        <f t="shared" si="65"/>
        <v>138.80000000000001</v>
      </c>
      <c r="F4204" s="8"/>
    </row>
    <row r="4205" spans="1:6" ht="18" customHeight="1">
      <c r="A4205" s="4" t="s">
        <v>136</v>
      </c>
      <c r="B4205" s="4" t="str">
        <f>"2020023921"</f>
        <v>2020023921</v>
      </c>
      <c r="C4205" s="5">
        <v>69.3</v>
      </c>
      <c r="D4205" s="6">
        <v>69</v>
      </c>
      <c r="E4205" s="7">
        <f t="shared" si="65"/>
        <v>138.30000000000001</v>
      </c>
      <c r="F4205" s="8"/>
    </row>
    <row r="4206" spans="1:6" ht="18" customHeight="1">
      <c r="A4206" s="4" t="s">
        <v>136</v>
      </c>
      <c r="B4206" s="4" t="str">
        <f>"2020022709"</f>
        <v>2020022709</v>
      </c>
      <c r="C4206" s="5">
        <v>72.099999999999994</v>
      </c>
      <c r="D4206" s="6">
        <v>66</v>
      </c>
      <c r="E4206" s="7">
        <f t="shared" si="65"/>
        <v>138.1</v>
      </c>
      <c r="F4206" s="8"/>
    </row>
    <row r="4207" spans="1:6" ht="18" customHeight="1">
      <c r="A4207" s="4" t="s">
        <v>136</v>
      </c>
      <c r="B4207" s="4" t="str">
        <f>"2020023024"</f>
        <v>2020023024</v>
      </c>
      <c r="C4207" s="5">
        <v>63.6</v>
      </c>
      <c r="D4207" s="6">
        <v>74</v>
      </c>
      <c r="E4207" s="7">
        <f t="shared" si="65"/>
        <v>137.6</v>
      </c>
      <c r="F4207" s="8"/>
    </row>
    <row r="4208" spans="1:6" ht="18" customHeight="1">
      <c r="A4208" s="4" t="s">
        <v>136</v>
      </c>
      <c r="B4208" s="4" t="str">
        <f>"2020022213"</f>
        <v>2020022213</v>
      </c>
      <c r="C4208" s="5">
        <v>73.3</v>
      </c>
      <c r="D4208" s="6">
        <v>64</v>
      </c>
      <c r="E4208" s="7">
        <f t="shared" si="65"/>
        <v>137.30000000000001</v>
      </c>
      <c r="F4208" s="8"/>
    </row>
    <row r="4209" spans="1:6" ht="18" customHeight="1">
      <c r="A4209" s="4" t="s">
        <v>136</v>
      </c>
      <c r="B4209" s="4" t="str">
        <f>"2020020305"</f>
        <v>2020020305</v>
      </c>
      <c r="C4209" s="5">
        <v>68.099999999999994</v>
      </c>
      <c r="D4209" s="6">
        <v>69</v>
      </c>
      <c r="E4209" s="7">
        <f t="shared" si="65"/>
        <v>137.1</v>
      </c>
      <c r="F4209" s="8"/>
    </row>
    <row r="4210" spans="1:6" ht="18" customHeight="1">
      <c r="A4210" s="4" t="s">
        <v>136</v>
      </c>
      <c r="B4210" s="4" t="str">
        <f>"2020020521"</f>
        <v>2020020521</v>
      </c>
      <c r="C4210" s="5">
        <v>73.900000000000006</v>
      </c>
      <c r="D4210" s="6">
        <v>63</v>
      </c>
      <c r="E4210" s="7">
        <f t="shared" si="65"/>
        <v>136.9</v>
      </c>
      <c r="F4210" s="8"/>
    </row>
    <row r="4211" spans="1:6" ht="18" customHeight="1">
      <c r="A4211" s="4" t="s">
        <v>136</v>
      </c>
      <c r="B4211" s="4" t="str">
        <f>"2020033902"</f>
        <v>2020033902</v>
      </c>
      <c r="C4211" s="5">
        <v>69.599999999999994</v>
      </c>
      <c r="D4211" s="6">
        <v>67</v>
      </c>
      <c r="E4211" s="7">
        <f t="shared" si="65"/>
        <v>136.6</v>
      </c>
      <c r="F4211" s="8"/>
    </row>
    <row r="4212" spans="1:6" ht="18" customHeight="1">
      <c r="A4212" s="4" t="s">
        <v>136</v>
      </c>
      <c r="B4212" s="4" t="str">
        <f>"2020033208"</f>
        <v>2020033208</v>
      </c>
      <c r="C4212" s="5">
        <v>61.9</v>
      </c>
      <c r="D4212" s="6">
        <v>74.5</v>
      </c>
      <c r="E4212" s="7">
        <f t="shared" si="65"/>
        <v>136.4</v>
      </c>
      <c r="F4212" s="8"/>
    </row>
    <row r="4213" spans="1:6" ht="18" customHeight="1">
      <c r="A4213" s="4" t="s">
        <v>136</v>
      </c>
      <c r="B4213" s="4" t="str">
        <f>"2020022827"</f>
        <v>2020022827</v>
      </c>
      <c r="C4213" s="5">
        <v>67.900000000000006</v>
      </c>
      <c r="D4213" s="6">
        <v>67.5</v>
      </c>
      <c r="E4213" s="7">
        <f t="shared" si="65"/>
        <v>135.4</v>
      </c>
      <c r="F4213" s="8"/>
    </row>
    <row r="4214" spans="1:6" ht="18" customHeight="1">
      <c r="A4214" s="4" t="s">
        <v>136</v>
      </c>
      <c r="B4214" s="4" t="str">
        <f>"2020021112"</f>
        <v>2020021112</v>
      </c>
      <c r="C4214" s="5">
        <v>68.7</v>
      </c>
      <c r="D4214" s="6">
        <v>66.5</v>
      </c>
      <c r="E4214" s="7">
        <f t="shared" si="65"/>
        <v>135.19999999999999</v>
      </c>
      <c r="F4214" s="8"/>
    </row>
    <row r="4215" spans="1:6" ht="18" customHeight="1">
      <c r="A4215" s="4" t="s">
        <v>136</v>
      </c>
      <c r="B4215" s="4" t="str">
        <f>"2020014010"</f>
        <v>2020014010</v>
      </c>
      <c r="C4215" s="5">
        <v>66.7</v>
      </c>
      <c r="D4215" s="6">
        <v>68</v>
      </c>
      <c r="E4215" s="7">
        <f t="shared" si="65"/>
        <v>134.69999999999999</v>
      </c>
      <c r="F4215" s="8"/>
    </row>
    <row r="4216" spans="1:6" ht="18" customHeight="1">
      <c r="A4216" s="4" t="s">
        <v>136</v>
      </c>
      <c r="B4216" s="4" t="str">
        <f>"2020021116"</f>
        <v>2020021116</v>
      </c>
      <c r="C4216" s="5">
        <v>69.099999999999994</v>
      </c>
      <c r="D4216" s="6">
        <v>65.5</v>
      </c>
      <c r="E4216" s="7">
        <f t="shared" si="65"/>
        <v>134.6</v>
      </c>
      <c r="F4216" s="8"/>
    </row>
    <row r="4217" spans="1:6" ht="18" customHeight="1">
      <c r="A4217" s="4" t="s">
        <v>136</v>
      </c>
      <c r="B4217" s="4" t="str">
        <f>"2020033627"</f>
        <v>2020033627</v>
      </c>
      <c r="C4217" s="5">
        <v>64.400000000000006</v>
      </c>
      <c r="D4217" s="6">
        <v>69.5</v>
      </c>
      <c r="E4217" s="7">
        <f t="shared" si="65"/>
        <v>133.9</v>
      </c>
      <c r="F4217" s="8"/>
    </row>
    <row r="4218" spans="1:6" ht="18" customHeight="1">
      <c r="A4218" s="4" t="s">
        <v>136</v>
      </c>
      <c r="B4218" s="4" t="str">
        <f>"2020046230"</f>
        <v>2020046230</v>
      </c>
      <c r="C4218" s="5">
        <v>69.7</v>
      </c>
      <c r="D4218" s="6">
        <v>63</v>
      </c>
      <c r="E4218" s="7">
        <f t="shared" si="65"/>
        <v>132.69999999999999</v>
      </c>
      <c r="F4218" s="8"/>
    </row>
    <row r="4219" spans="1:6" ht="18" customHeight="1">
      <c r="A4219" s="4" t="s">
        <v>136</v>
      </c>
      <c r="B4219" s="4" t="str">
        <f>"2020045920"</f>
        <v>2020045920</v>
      </c>
      <c r="C4219" s="5">
        <v>67.5</v>
      </c>
      <c r="D4219" s="6">
        <v>65</v>
      </c>
      <c r="E4219" s="7">
        <f t="shared" si="65"/>
        <v>132.5</v>
      </c>
      <c r="F4219" s="8"/>
    </row>
    <row r="4220" spans="1:6" ht="18" customHeight="1">
      <c r="A4220" s="4" t="s">
        <v>136</v>
      </c>
      <c r="B4220" s="4" t="str">
        <f>"2020032927"</f>
        <v>2020032927</v>
      </c>
      <c r="C4220" s="5">
        <v>65.900000000000006</v>
      </c>
      <c r="D4220" s="6">
        <v>66.5</v>
      </c>
      <c r="E4220" s="7">
        <f t="shared" si="65"/>
        <v>132.4</v>
      </c>
      <c r="F4220" s="8"/>
    </row>
    <row r="4221" spans="1:6" ht="18" customHeight="1">
      <c r="A4221" s="4" t="s">
        <v>136</v>
      </c>
      <c r="B4221" s="4" t="str">
        <f>"2020012009"</f>
        <v>2020012009</v>
      </c>
      <c r="C4221" s="5">
        <v>69.7</v>
      </c>
      <c r="D4221" s="6">
        <v>62.5</v>
      </c>
      <c r="E4221" s="7">
        <f t="shared" si="65"/>
        <v>132.19999999999999</v>
      </c>
      <c r="F4221" s="8"/>
    </row>
    <row r="4222" spans="1:6" ht="18" customHeight="1">
      <c r="A4222" s="4" t="s">
        <v>136</v>
      </c>
      <c r="B4222" s="4" t="str">
        <f>"2020020519"</f>
        <v>2020020519</v>
      </c>
      <c r="C4222" s="5">
        <v>67</v>
      </c>
      <c r="D4222" s="6">
        <v>64.5</v>
      </c>
      <c r="E4222" s="7">
        <f t="shared" si="65"/>
        <v>131.5</v>
      </c>
      <c r="F4222" s="8"/>
    </row>
    <row r="4223" spans="1:6" ht="18" customHeight="1">
      <c r="A4223" s="4" t="s">
        <v>136</v>
      </c>
      <c r="B4223" s="4" t="str">
        <f>"2020032105"</f>
        <v>2020032105</v>
      </c>
      <c r="C4223" s="5">
        <v>62.2</v>
      </c>
      <c r="D4223" s="6">
        <v>68.5</v>
      </c>
      <c r="E4223" s="7">
        <f t="shared" si="65"/>
        <v>130.69999999999999</v>
      </c>
      <c r="F4223" s="8"/>
    </row>
    <row r="4224" spans="1:6" ht="18" customHeight="1">
      <c r="A4224" s="4" t="s">
        <v>136</v>
      </c>
      <c r="B4224" s="4" t="str">
        <f>"2020030402"</f>
        <v>2020030402</v>
      </c>
      <c r="C4224" s="5">
        <v>67.599999999999994</v>
      </c>
      <c r="D4224" s="6">
        <v>63</v>
      </c>
      <c r="E4224" s="7">
        <f t="shared" si="65"/>
        <v>130.6</v>
      </c>
      <c r="F4224" s="8"/>
    </row>
    <row r="4225" spans="1:6" ht="18" customHeight="1">
      <c r="A4225" s="4" t="s">
        <v>136</v>
      </c>
      <c r="B4225" s="4" t="str">
        <f>"2020040330"</f>
        <v>2020040330</v>
      </c>
      <c r="C4225" s="5">
        <v>63.3</v>
      </c>
      <c r="D4225" s="6">
        <v>67</v>
      </c>
      <c r="E4225" s="7">
        <f t="shared" si="65"/>
        <v>130.30000000000001</v>
      </c>
      <c r="F4225" s="8"/>
    </row>
    <row r="4226" spans="1:6" ht="18" customHeight="1">
      <c r="A4226" s="4" t="s">
        <v>136</v>
      </c>
      <c r="B4226" s="4" t="str">
        <f>"2020010129"</f>
        <v>2020010129</v>
      </c>
      <c r="C4226" s="5">
        <v>68.3</v>
      </c>
      <c r="D4226" s="6">
        <v>61.5</v>
      </c>
      <c r="E4226" s="7">
        <f t="shared" si="65"/>
        <v>129.80000000000001</v>
      </c>
      <c r="F4226" s="8"/>
    </row>
    <row r="4227" spans="1:6" ht="18" customHeight="1">
      <c r="A4227" s="4" t="s">
        <v>136</v>
      </c>
      <c r="B4227" s="4" t="str">
        <f>"2020013314"</f>
        <v>2020013314</v>
      </c>
      <c r="C4227" s="5">
        <v>60.7</v>
      </c>
      <c r="D4227" s="6">
        <v>69</v>
      </c>
      <c r="E4227" s="7">
        <f t="shared" ref="E4227:E4290" si="66">SUM(C4227:D4227)</f>
        <v>129.69999999999999</v>
      </c>
      <c r="F4227" s="8"/>
    </row>
    <row r="4228" spans="1:6" ht="18" customHeight="1">
      <c r="A4228" s="4" t="s">
        <v>136</v>
      </c>
      <c r="B4228" s="4" t="str">
        <f>"2020040609"</f>
        <v>2020040609</v>
      </c>
      <c r="C4228" s="5">
        <v>69.599999999999994</v>
      </c>
      <c r="D4228" s="6">
        <v>59.5</v>
      </c>
      <c r="E4228" s="7">
        <f t="shared" si="66"/>
        <v>129.1</v>
      </c>
      <c r="F4228" s="8"/>
    </row>
    <row r="4229" spans="1:6" ht="18" customHeight="1">
      <c r="A4229" s="4" t="s">
        <v>136</v>
      </c>
      <c r="B4229" s="4" t="str">
        <f>"2020046223"</f>
        <v>2020046223</v>
      </c>
      <c r="C4229" s="5">
        <v>62.1</v>
      </c>
      <c r="D4229" s="6">
        <v>67</v>
      </c>
      <c r="E4229" s="7">
        <f t="shared" si="66"/>
        <v>129.1</v>
      </c>
      <c r="F4229" s="8"/>
    </row>
    <row r="4230" spans="1:6" ht="18" customHeight="1">
      <c r="A4230" s="4" t="s">
        <v>136</v>
      </c>
      <c r="B4230" s="4" t="str">
        <f>"2020021210"</f>
        <v>2020021210</v>
      </c>
      <c r="C4230" s="5">
        <v>68.099999999999994</v>
      </c>
      <c r="D4230" s="6">
        <v>60.5</v>
      </c>
      <c r="E4230" s="7">
        <f t="shared" si="66"/>
        <v>128.6</v>
      </c>
      <c r="F4230" s="8"/>
    </row>
    <row r="4231" spans="1:6" ht="18" customHeight="1">
      <c r="A4231" s="4" t="s">
        <v>136</v>
      </c>
      <c r="B4231" s="4" t="str">
        <f>"2020010627"</f>
        <v>2020010627</v>
      </c>
      <c r="C4231" s="5">
        <v>64.099999999999994</v>
      </c>
      <c r="D4231" s="6">
        <v>63.5</v>
      </c>
      <c r="E4231" s="7">
        <f t="shared" si="66"/>
        <v>127.6</v>
      </c>
      <c r="F4231" s="8"/>
    </row>
    <row r="4232" spans="1:6" ht="18" customHeight="1">
      <c r="A4232" s="4" t="s">
        <v>136</v>
      </c>
      <c r="B4232" s="4" t="str">
        <f>"2020013830"</f>
        <v>2020013830</v>
      </c>
      <c r="C4232" s="5">
        <v>70.5</v>
      </c>
      <c r="D4232" s="6">
        <v>57</v>
      </c>
      <c r="E4232" s="7">
        <f t="shared" si="66"/>
        <v>127.5</v>
      </c>
      <c r="F4232" s="8"/>
    </row>
    <row r="4233" spans="1:6" ht="18" customHeight="1">
      <c r="A4233" s="4" t="s">
        <v>136</v>
      </c>
      <c r="B4233" s="4" t="str">
        <f>"2020030910"</f>
        <v>2020030910</v>
      </c>
      <c r="C4233" s="5">
        <v>61.5</v>
      </c>
      <c r="D4233" s="6">
        <v>65</v>
      </c>
      <c r="E4233" s="7">
        <f t="shared" si="66"/>
        <v>126.5</v>
      </c>
      <c r="F4233" s="8"/>
    </row>
    <row r="4234" spans="1:6" ht="18" customHeight="1">
      <c r="A4234" s="4" t="s">
        <v>136</v>
      </c>
      <c r="B4234" s="4" t="str">
        <f>"2020047410"</f>
        <v>2020047410</v>
      </c>
      <c r="C4234" s="5">
        <v>74.400000000000006</v>
      </c>
      <c r="D4234" s="6">
        <v>52</v>
      </c>
      <c r="E4234" s="7">
        <f t="shared" si="66"/>
        <v>126.4</v>
      </c>
      <c r="F4234" s="8"/>
    </row>
    <row r="4235" spans="1:6" ht="18" customHeight="1">
      <c r="A4235" s="4" t="s">
        <v>136</v>
      </c>
      <c r="B4235" s="4" t="str">
        <f>"2020046220"</f>
        <v>2020046220</v>
      </c>
      <c r="C4235" s="5">
        <v>68.7</v>
      </c>
      <c r="D4235" s="6">
        <v>57.5</v>
      </c>
      <c r="E4235" s="7">
        <f t="shared" si="66"/>
        <v>126.2</v>
      </c>
      <c r="F4235" s="8"/>
    </row>
    <row r="4236" spans="1:6" ht="18" customHeight="1">
      <c r="A4236" s="4" t="s">
        <v>136</v>
      </c>
      <c r="B4236" s="4" t="str">
        <f>"2020020922"</f>
        <v>2020020922</v>
      </c>
      <c r="C4236" s="5">
        <v>59.9</v>
      </c>
      <c r="D4236" s="6">
        <v>66</v>
      </c>
      <c r="E4236" s="7">
        <f t="shared" si="66"/>
        <v>125.9</v>
      </c>
      <c r="F4236" s="8"/>
    </row>
    <row r="4237" spans="1:6" ht="18" customHeight="1">
      <c r="A4237" s="4" t="s">
        <v>136</v>
      </c>
      <c r="B4237" s="4" t="str">
        <f>"2020021812"</f>
        <v>2020021812</v>
      </c>
      <c r="C4237" s="5">
        <v>59.4</v>
      </c>
      <c r="D4237" s="6">
        <v>66</v>
      </c>
      <c r="E4237" s="7">
        <f t="shared" si="66"/>
        <v>125.4</v>
      </c>
      <c r="F4237" s="8"/>
    </row>
    <row r="4238" spans="1:6" ht="18" customHeight="1">
      <c r="A4238" s="4" t="s">
        <v>136</v>
      </c>
      <c r="B4238" s="4" t="str">
        <f>"2020041717"</f>
        <v>2020041717</v>
      </c>
      <c r="C4238" s="5">
        <v>60.6</v>
      </c>
      <c r="D4238" s="6">
        <v>64.5</v>
      </c>
      <c r="E4238" s="7">
        <f t="shared" si="66"/>
        <v>125.1</v>
      </c>
      <c r="F4238" s="8"/>
    </row>
    <row r="4239" spans="1:6" ht="18" customHeight="1">
      <c r="A4239" s="4" t="s">
        <v>136</v>
      </c>
      <c r="B4239" s="4" t="str">
        <f>"2020030723"</f>
        <v>2020030723</v>
      </c>
      <c r="C4239" s="5">
        <v>64.5</v>
      </c>
      <c r="D4239" s="6">
        <v>60.5</v>
      </c>
      <c r="E4239" s="7">
        <f t="shared" si="66"/>
        <v>125</v>
      </c>
      <c r="F4239" s="8"/>
    </row>
    <row r="4240" spans="1:6" ht="18" customHeight="1">
      <c r="A4240" s="4" t="s">
        <v>136</v>
      </c>
      <c r="B4240" s="4" t="str">
        <f>"2020041722"</f>
        <v>2020041722</v>
      </c>
      <c r="C4240" s="5">
        <v>66.900000000000006</v>
      </c>
      <c r="D4240" s="6">
        <v>57.5</v>
      </c>
      <c r="E4240" s="7">
        <f t="shared" si="66"/>
        <v>124.4</v>
      </c>
      <c r="F4240" s="8"/>
    </row>
    <row r="4241" spans="1:6" ht="18" customHeight="1">
      <c r="A4241" s="4" t="s">
        <v>136</v>
      </c>
      <c r="B4241" s="4" t="str">
        <f>"2020024820"</f>
        <v>2020024820</v>
      </c>
      <c r="C4241" s="5">
        <v>56.7</v>
      </c>
      <c r="D4241" s="6">
        <v>67.5</v>
      </c>
      <c r="E4241" s="7">
        <f t="shared" si="66"/>
        <v>124.2</v>
      </c>
      <c r="F4241" s="8"/>
    </row>
    <row r="4242" spans="1:6" ht="18" customHeight="1">
      <c r="A4242" s="4" t="s">
        <v>136</v>
      </c>
      <c r="B4242" s="4" t="str">
        <f>"2020030909"</f>
        <v>2020030909</v>
      </c>
      <c r="C4242" s="5">
        <v>66.5</v>
      </c>
      <c r="D4242" s="6">
        <v>54.5</v>
      </c>
      <c r="E4242" s="7">
        <f t="shared" si="66"/>
        <v>121</v>
      </c>
      <c r="F4242" s="8"/>
    </row>
    <row r="4243" spans="1:6" ht="18" customHeight="1">
      <c r="A4243" s="4" t="s">
        <v>136</v>
      </c>
      <c r="B4243" s="4" t="str">
        <f>"2020024206"</f>
        <v>2020024206</v>
      </c>
      <c r="C4243" s="5">
        <v>57.5</v>
      </c>
      <c r="D4243" s="6">
        <v>63.5</v>
      </c>
      <c r="E4243" s="7">
        <f t="shared" si="66"/>
        <v>121</v>
      </c>
      <c r="F4243" s="8"/>
    </row>
    <row r="4244" spans="1:6" ht="18" customHeight="1">
      <c r="A4244" s="4" t="s">
        <v>136</v>
      </c>
      <c r="B4244" s="4" t="str">
        <f>"2020011811"</f>
        <v>2020011811</v>
      </c>
      <c r="C4244" s="5">
        <v>68.3</v>
      </c>
      <c r="D4244" s="6">
        <v>48.5</v>
      </c>
      <c r="E4244" s="7">
        <f t="shared" si="66"/>
        <v>116.8</v>
      </c>
      <c r="F4244" s="8"/>
    </row>
    <row r="4245" spans="1:6" ht="18" customHeight="1">
      <c r="A4245" s="4" t="s">
        <v>136</v>
      </c>
      <c r="B4245" s="4" t="str">
        <f>"2020031123"</f>
        <v>2020031123</v>
      </c>
      <c r="C4245" s="5">
        <v>68.2</v>
      </c>
      <c r="D4245" s="6">
        <v>44.5</v>
      </c>
      <c r="E4245" s="7">
        <f t="shared" si="66"/>
        <v>112.7</v>
      </c>
      <c r="F4245" s="8"/>
    </row>
    <row r="4246" spans="1:6" ht="18" customHeight="1">
      <c r="A4246" s="4" t="s">
        <v>136</v>
      </c>
      <c r="B4246" s="4" t="str">
        <f>"2020040423"</f>
        <v>2020040423</v>
      </c>
      <c r="C4246" s="5">
        <v>55.7</v>
      </c>
      <c r="D4246" s="6">
        <v>57</v>
      </c>
      <c r="E4246" s="7">
        <f t="shared" si="66"/>
        <v>112.7</v>
      </c>
      <c r="F4246" s="8"/>
    </row>
    <row r="4247" spans="1:6" ht="18" customHeight="1">
      <c r="A4247" s="4" t="s">
        <v>136</v>
      </c>
      <c r="B4247" s="4" t="str">
        <f>"2020043817"</f>
        <v>2020043817</v>
      </c>
      <c r="C4247" s="5">
        <v>56.9</v>
      </c>
      <c r="D4247" s="6">
        <v>49.5</v>
      </c>
      <c r="E4247" s="7">
        <f t="shared" si="66"/>
        <v>106.4</v>
      </c>
      <c r="F4247" s="8"/>
    </row>
    <row r="4248" spans="1:6" ht="18" customHeight="1">
      <c r="A4248" s="4" t="s">
        <v>136</v>
      </c>
      <c r="B4248" s="4" t="str">
        <f>"2020023316"</f>
        <v>2020023316</v>
      </c>
      <c r="C4248" s="5">
        <v>72.599999999999994</v>
      </c>
      <c r="D4248" s="6">
        <v>33</v>
      </c>
      <c r="E4248" s="7">
        <f t="shared" si="66"/>
        <v>105.6</v>
      </c>
      <c r="F4248" s="8"/>
    </row>
    <row r="4249" spans="1:6" ht="18" customHeight="1">
      <c r="A4249" s="4" t="s">
        <v>136</v>
      </c>
      <c r="B4249" s="4" t="str">
        <f>"2020031815"</f>
        <v>2020031815</v>
      </c>
      <c r="C4249" s="5">
        <v>72.400000000000006</v>
      </c>
      <c r="D4249" s="6">
        <v>32</v>
      </c>
      <c r="E4249" s="7">
        <f t="shared" si="66"/>
        <v>104.4</v>
      </c>
      <c r="F4249" s="8"/>
    </row>
    <row r="4250" spans="1:6" ht="18" customHeight="1">
      <c r="A4250" s="4" t="s">
        <v>136</v>
      </c>
      <c r="B4250" s="4" t="str">
        <f>"2020010623"</f>
        <v>2020010623</v>
      </c>
      <c r="C4250" s="5">
        <v>63.2</v>
      </c>
      <c r="D4250" s="6">
        <v>40</v>
      </c>
      <c r="E4250" s="7">
        <f t="shared" si="66"/>
        <v>103.2</v>
      </c>
      <c r="F4250" s="8"/>
    </row>
    <row r="4251" spans="1:6" ht="18" customHeight="1">
      <c r="A4251" s="4" t="s">
        <v>136</v>
      </c>
      <c r="B4251" s="4" t="str">
        <f>"2020046022"</f>
        <v>2020046022</v>
      </c>
      <c r="C4251" s="5">
        <v>53.9</v>
      </c>
      <c r="D4251" s="6">
        <v>43.5</v>
      </c>
      <c r="E4251" s="7">
        <f t="shared" si="66"/>
        <v>97.4</v>
      </c>
      <c r="F4251" s="8"/>
    </row>
    <row r="4252" spans="1:6" ht="18" customHeight="1">
      <c r="A4252" s="4" t="s">
        <v>136</v>
      </c>
      <c r="B4252" s="4" t="str">
        <f>"2020011209"</f>
        <v>2020011209</v>
      </c>
      <c r="C4252" s="5">
        <v>0</v>
      </c>
      <c r="D4252" s="6">
        <v>0</v>
      </c>
      <c r="E4252" s="7">
        <f t="shared" si="66"/>
        <v>0</v>
      </c>
      <c r="F4252" s="9" t="s">
        <v>8</v>
      </c>
    </row>
    <row r="4253" spans="1:6" ht="18" customHeight="1">
      <c r="A4253" s="4" t="s">
        <v>136</v>
      </c>
      <c r="B4253" s="4" t="str">
        <f>"2020012106"</f>
        <v>2020012106</v>
      </c>
      <c r="C4253" s="5">
        <v>0</v>
      </c>
      <c r="D4253" s="6">
        <v>0</v>
      </c>
      <c r="E4253" s="7">
        <f t="shared" si="66"/>
        <v>0</v>
      </c>
      <c r="F4253" s="9" t="s">
        <v>8</v>
      </c>
    </row>
    <row r="4254" spans="1:6" ht="18" customHeight="1">
      <c r="A4254" s="4" t="s">
        <v>136</v>
      </c>
      <c r="B4254" s="4" t="str">
        <f>"2020013006"</f>
        <v>2020013006</v>
      </c>
      <c r="C4254" s="5">
        <v>0</v>
      </c>
      <c r="D4254" s="6">
        <v>0</v>
      </c>
      <c r="E4254" s="7">
        <f t="shared" si="66"/>
        <v>0</v>
      </c>
      <c r="F4254" s="9" t="s">
        <v>8</v>
      </c>
    </row>
    <row r="4255" spans="1:6" ht="18" customHeight="1">
      <c r="A4255" s="4" t="s">
        <v>136</v>
      </c>
      <c r="B4255" s="4" t="str">
        <f>"2020013109"</f>
        <v>2020013109</v>
      </c>
      <c r="C4255" s="5">
        <v>0</v>
      </c>
      <c r="D4255" s="6">
        <v>0</v>
      </c>
      <c r="E4255" s="7">
        <f t="shared" si="66"/>
        <v>0</v>
      </c>
      <c r="F4255" s="9" t="s">
        <v>8</v>
      </c>
    </row>
    <row r="4256" spans="1:6" ht="18" customHeight="1">
      <c r="A4256" s="4" t="s">
        <v>136</v>
      </c>
      <c r="B4256" s="4" t="str">
        <f>"2020013323"</f>
        <v>2020013323</v>
      </c>
      <c r="C4256" s="5">
        <v>0</v>
      </c>
      <c r="D4256" s="6">
        <v>0</v>
      </c>
      <c r="E4256" s="7">
        <f t="shared" si="66"/>
        <v>0</v>
      </c>
      <c r="F4256" s="9" t="s">
        <v>8</v>
      </c>
    </row>
    <row r="4257" spans="1:6" ht="18" customHeight="1">
      <c r="A4257" s="4" t="s">
        <v>136</v>
      </c>
      <c r="B4257" s="4" t="str">
        <f>"2020021515"</f>
        <v>2020021515</v>
      </c>
      <c r="C4257" s="5">
        <v>0</v>
      </c>
      <c r="D4257" s="6">
        <v>0</v>
      </c>
      <c r="E4257" s="7">
        <f t="shared" si="66"/>
        <v>0</v>
      </c>
      <c r="F4257" s="8" t="s">
        <v>8</v>
      </c>
    </row>
    <row r="4258" spans="1:6" ht="18" customHeight="1">
      <c r="A4258" s="4" t="s">
        <v>136</v>
      </c>
      <c r="B4258" s="4" t="str">
        <f>"2020022025"</f>
        <v>2020022025</v>
      </c>
      <c r="C4258" s="5">
        <v>0</v>
      </c>
      <c r="D4258" s="6">
        <v>0</v>
      </c>
      <c r="E4258" s="7">
        <f t="shared" si="66"/>
        <v>0</v>
      </c>
      <c r="F4258" s="8" t="s">
        <v>8</v>
      </c>
    </row>
    <row r="4259" spans="1:6" ht="18" customHeight="1">
      <c r="A4259" s="4" t="s">
        <v>136</v>
      </c>
      <c r="B4259" s="4" t="str">
        <f>"2020022501"</f>
        <v>2020022501</v>
      </c>
      <c r="C4259" s="5">
        <v>0</v>
      </c>
      <c r="D4259" s="6">
        <v>0</v>
      </c>
      <c r="E4259" s="7">
        <f t="shared" si="66"/>
        <v>0</v>
      </c>
      <c r="F4259" s="8" t="s">
        <v>8</v>
      </c>
    </row>
    <row r="4260" spans="1:6" ht="18" customHeight="1">
      <c r="A4260" s="4" t="s">
        <v>136</v>
      </c>
      <c r="B4260" s="4" t="str">
        <f>"2020022619"</f>
        <v>2020022619</v>
      </c>
      <c r="C4260" s="5">
        <v>0</v>
      </c>
      <c r="D4260" s="6">
        <v>0</v>
      </c>
      <c r="E4260" s="7">
        <f t="shared" si="66"/>
        <v>0</v>
      </c>
      <c r="F4260" s="8" t="s">
        <v>8</v>
      </c>
    </row>
    <row r="4261" spans="1:6" ht="18" customHeight="1">
      <c r="A4261" s="4" t="s">
        <v>136</v>
      </c>
      <c r="B4261" s="4" t="str">
        <f>"2020023119"</f>
        <v>2020023119</v>
      </c>
      <c r="C4261" s="5">
        <v>0</v>
      </c>
      <c r="D4261" s="6">
        <v>0</v>
      </c>
      <c r="E4261" s="7">
        <f t="shared" si="66"/>
        <v>0</v>
      </c>
      <c r="F4261" s="8" t="s">
        <v>8</v>
      </c>
    </row>
    <row r="4262" spans="1:6" ht="18" customHeight="1">
      <c r="A4262" s="4" t="s">
        <v>136</v>
      </c>
      <c r="B4262" s="4" t="str">
        <f>"2020030828"</f>
        <v>2020030828</v>
      </c>
      <c r="C4262" s="5">
        <v>0</v>
      </c>
      <c r="D4262" s="6">
        <v>0</v>
      </c>
      <c r="E4262" s="7">
        <f t="shared" si="66"/>
        <v>0</v>
      </c>
      <c r="F4262" s="8" t="s">
        <v>8</v>
      </c>
    </row>
    <row r="4263" spans="1:6" ht="18" customHeight="1">
      <c r="A4263" s="4" t="s">
        <v>136</v>
      </c>
      <c r="B4263" s="4" t="str">
        <f>"2020031803"</f>
        <v>2020031803</v>
      </c>
      <c r="C4263" s="5">
        <v>0</v>
      </c>
      <c r="D4263" s="6">
        <v>0</v>
      </c>
      <c r="E4263" s="7">
        <f t="shared" si="66"/>
        <v>0</v>
      </c>
      <c r="F4263" s="8" t="s">
        <v>8</v>
      </c>
    </row>
    <row r="4264" spans="1:6" ht="18" customHeight="1">
      <c r="A4264" s="4" t="s">
        <v>136</v>
      </c>
      <c r="B4264" s="4" t="str">
        <f>"2020032709"</f>
        <v>2020032709</v>
      </c>
      <c r="C4264" s="5">
        <v>0</v>
      </c>
      <c r="D4264" s="6">
        <v>0</v>
      </c>
      <c r="E4264" s="7">
        <f t="shared" si="66"/>
        <v>0</v>
      </c>
      <c r="F4264" s="8" t="s">
        <v>8</v>
      </c>
    </row>
    <row r="4265" spans="1:6" ht="18" customHeight="1">
      <c r="A4265" s="4" t="s">
        <v>136</v>
      </c>
      <c r="B4265" s="4" t="str">
        <f>"2020033711"</f>
        <v>2020033711</v>
      </c>
      <c r="C4265" s="5">
        <v>0</v>
      </c>
      <c r="D4265" s="6">
        <v>0</v>
      </c>
      <c r="E4265" s="7">
        <f t="shared" si="66"/>
        <v>0</v>
      </c>
      <c r="F4265" s="8" t="s">
        <v>8</v>
      </c>
    </row>
    <row r="4266" spans="1:6" ht="18" customHeight="1">
      <c r="A4266" s="4" t="s">
        <v>136</v>
      </c>
      <c r="B4266" s="4" t="str">
        <f>"2020040227"</f>
        <v>2020040227</v>
      </c>
      <c r="C4266" s="5">
        <v>0</v>
      </c>
      <c r="D4266" s="6">
        <v>0</v>
      </c>
      <c r="E4266" s="7">
        <f t="shared" si="66"/>
        <v>0</v>
      </c>
      <c r="F4266" s="8" t="s">
        <v>8</v>
      </c>
    </row>
    <row r="4267" spans="1:6" ht="18" customHeight="1">
      <c r="A4267" s="4" t="s">
        <v>136</v>
      </c>
      <c r="B4267" s="4" t="str">
        <f>"2020042319"</f>
        <v>2020042319</v>
      </c>
      <c r="C4267" s="5">
        <v>0</v>
      </c>
      <c r="D4267" s="6">
        <v>0</v>
      </c>
      <c r="E4267" s="7">
        <f t="shared" si="66"/>
        <v>0</v>
      </c>
      <c r="F4267" s="8" t="s">
        <v>8</v>
      </c>
    </row>
    <row r="4268" spans="1:6" ht="18" customHeight="1">
      <c r="A4268" s="4" t="s">
        <v>136</v>
      </c>
      <c r="B4268" s="4" t="str">
        <f>"2020043730"</f>
        <v>2020043730</v>
      </c>
      <c r="C4268" s="5">
        <v>0</v>
      </c>
      <c r="D4268" s="6">
        <v>0</v>
      </c>
      <c r="E4268" s="7">
        <f t="shared" si="66"/>
        <v>0</v>
      </c>
      <c r="F4268" s="8" t="s">
        <v>8</v>
      </c>
    </row>
    <row r="4269" spans="1:6" ht="18" customHeight="1">
      <c r="A4269" s="4" t="s">
        <v>136</v>
      </c>
      <c r="B4269" s="4" t="str">
        <f>"2020045907"</f>
        <v>2020045907</v>
      </c>
      <c r="C4269" s="5">
        <v>0</v>
      </c>
      <c r="D4269" s="6">
        <v>0</v>
      </c>
      <c r="E4269" s="7">
        <f t="shared" si="66"/>
        <v>0</v>
      </c>
      <c r="F4269" s="8" t="s">
        <v>8</v>
      </c>
    </row>
    <row r="4270" spans="1:6" ht="18" customHeight="1">
      <c r="A4270" s="4" t="s">
        <v>136</v>
      </c>
      <c r="B4270" s="4" t="str">
        <f>"2020046407"</f>
        <v>2020046407</v>
      </c>
      <c r="C4270" s="5">
        <v>0</v>
      </c>
      <c r="D4270" s="6">
        <v>0</v>
      </c>
      <c r="E4270" s="7">
        <f t="shared" si="66"/>
        <v>0</v>
      </c>
      <c r="F4270" s="8" t="s">
        <v>8</v>
      </c>
    </row>
    <row r="4271" spans="1:6" ht="18" customHeight="1">
      <c r="A4271" s="4" t="s">
        <v>136</v>
      </c>
      <c r="B4271" s="4" t="str">
        <f>"2020047110"</f>
        <v>2020047110</v>
      </c>
      <c r="C4271" s="5">
        <v>0</v>
      </c>
      <c r="D4271" s="6">
        <v>0</v>
      </c>
      <c r="E4271" s="7">
        <f t="shared" si="66"/>
        <v>0</v>
      </c>
      <c r="F4271" s="8" t="s">
        <v>8</v>
      </c>
    </row>
    <row r="4272" spans="1:6" ht="18" customHeight="1">
      <c r="A4272" s="4" t="s">
        <v>136</v>
      </c>
      <c r="B4272" s="4" t="str">
        <f>"2020047310"</f>
        <v>2020047310</v>
      </c>
      <c r="C4272" s="5">
        <v>0</v>
      </c>
      <c r="D4272" s="6">
        <v>0</v>
      </c>
      <c r="E4272" s="7">
        <f t="shared" si="66"/>
        <v>0</v>
      </c>
      <c r="F4272" s="8" t="s">
        <v>8</v>
      </c>
    </row>
    <row r="4273" spans="1:6" ht="18" customHeight="1">
      <c r="A4273" s="4" t="s">
        <v>137</v>
      </c>
      <c r="B4273" s="4" t="str">
        <f>"2020031221"</f>
        <v>2020031221</v>
      </c>
      <c r="C4273" s="5">
        <v>81.5</v>
      </c>
      <c r="D4273" s="6">
        <v>81.5</v>
      </c>
      <c r="E4273" s="7">
        <f t="shared" si="66"/>
        <v>163</v>
      </c>
      <c r="F4273" s="8"/>
    </row>
    <row r="4274" spans="1:6" ht="18" customHeight="1">
      <c r="A4274" s="4" t="s">
        <v>137</v>
      </c>
      <c r="B4274" s="4" t="str">
        <f>"2020024212"</f>
        <v>2020024212</v>
      </c>
      <c r="C4274" s="5">
        <v>77.2</v>
      </c>
      <c r="D4274" s="6">
        <v>81.5</v>
      </c>
      <c r="E4274" s="7">
        <f t="shared" si="66"/>
        <v>158.69999999999999</v>
      </c>
      <c r="F4274" s="8"/>
    </row>
    <row r="4275" spans="1:6" ht="18" customHeight="1">
      <c r="A4275" s="4" t="s">
        <v>137</v>
      </c>
      <c r="B4275" s="4" t="str">
        <f>"2020042828"</f>
        <v>2020042828</v>
      </c>
      <c r="C4275" s="5">
        <v>67.5</v>
      </c>
      <c r="D4275" s="6">
        <v>71</v>
      </c>
      <c r="E4275" s="7">
        <f t="shared" si="66"/>
        <v>138.5</v>
      </c>
      <c r="F4275" s="8"/>
    </row>
    <row r="4276" spans="1:6" ht="18" customHeight="1">
      <c r="A4276" s="4" t="s">
        <v>137</v>
      </c>
      <c r="B4276" s="4" t="str">
        <f>"2020043607"</f>
        <v>2020043607</v>
      </c>
      <c r="C4276" s="5">
        <v>63.3</v>
      </c>
      <c r="D4276" s="6">
        <v>72</v>
      </c>
      <c r="E4276" s="7">
        <f t="shared" si="66"/>
        <v>135.30000000000001</v>
      </c>
      <c r="F4276" s="8"/>
    </row>
    <row r="4277" spans="1:6" ht="18" customHeight="1">
      <c r="A4277" s="4" t="s">
        <v>137</v>
      </c>
      <c r="B4277" s="4" t="str">
        <f>"2020032914"</f>
        <v>2020032914</v>
      </c>
      <c r="C4277" s="5">
        <v>64.099999999999994</v>
      </c>
      <c r="D4277" s="6">
        <v>70.5</v>
      </c>
      <c r="E4277" s="7">
        <f t="shared" si="66"/>
        <v>134.6</v>
      </c>
      <c r="F4277" s="8"/>
    </row>
    <row r="4278" spans="1:6" ht="18" customHeight="1">
      <c r="A4278" s="4" t="s">
        <v>137</v>
      </c>
      <c r="B4278" s="4" t="str">
        <f>"2020041827"</f>
        <v>2020041827</v>
      </c>
      <c r="C4278" s="5">
        <v>64.900000000000006</v>
      </c>
      <c r="D4278" s="6">
        <v>62.5</v>
      </c>
      <c r="E4278" s="7">
        <f t="shared" si="66"/>
        <v>127.4</v>
      </c>
      <c r="F4278" s="8"/>
    </row>
    <row r="4279" spans="1:6" ht="18" customHeight="1">
      <c r="A4279" s="4" t="s">
        <v>137</v>
      </c>
      <c r="B4279" s="4" t="str">
        <f>"2020014006"</f>
        <v>2020014006</v>
      </c>
      <c r="C4279" s="5">
        <v>58.4</v>
      </c>
      <c r="D4279" s="6">
        <v>66</v>
      </c>
      <c r="E4279" s="7">
        <f t="shared" si="66"/>
        <v>124.4</v>
      </c>
      <c r="F4279" s="8"/>
    </row>
    <row r="4280" spans="1:6" ht="18" customHeight="1">
      <c r="A4280" s="4" t="s">
        <v>137</v>
      </c>
      <c r="B4280" s="4" t="str">
        <f>"2020041216"</f>
        <v>2020041216</v>
      </c>
      <c r="C4280" s="5">
        <v>60.1</v>
      </c>
      <c r="D4280" s="6">
        <v>53</v>
      </c>
      <c r="E4280" s="7">
        <f t="shared" si="66"/>
        <v>113.1</v>
      </c>
      <c r="F4280" s="8"/>
    </row>
    <row r="4281" spans="1:6" ht="18" customHeight="1">
      <c r="A4281" s="4" t="s">
        <v>137</v>
      </c>
      <c r="B4281" s="4" t="str">
        <f>"2020022010"</f>
        <v>2020022010</v>
      </c>
      <c r="C4281" s="5">
        <v>0</v>
      </c>
      <c r="D4281" s="6">
        <v>0</v>
      </c>
      <c r="E4281" s="7">
        <f t="shared" si="66"/>
        <v>0</v>
      </c>
      <c r="F4281" s="8" t="s">
        <v>8</v>
      </c>
    </row>
    <row r="4282" spans="1:6" ht="18" customHeight="1">
      <c r="A4282" s="4" t="s">
        <v>137</v>
      </c>
      <c r="B4282" s="4" t="str">
        <f>"2020024803"</f>
        <v>2020024803</v>
      </c>
      <c r="C4282" s="5">
        <v>0</v>
      </c>
      <c r="D4282" s="6">
        <v>0</v>
      </c>
      <c r="E4282" s="7">
        <f t="shared" si="66"/>
        <v>0</v>
      </c>
      <c r="F4282" s="8" t="s">
        <v>8</v>
      </c>
    </row>
    <row r="4283" spans="1:6" ht="18" customHeight="1">
      <c r="A4283" s="4" t="s">
        <v>137</v>
      </c>
      <c r="B4283" s="4" t="str">
        <f>"2020045302"</f>
        <v>2020045302</v>
      </c>
      <c r="C4283" s="5">
        <v>0</v>
      </c>
      <c r="D4283" s="6">
        <v>0</v>
      </c>
      <c r="E4283" s="7">
        <f t="shared" si="66"/>
        <v>0</v>
      </c>
      <c r="F4283" s="8" t="s">
        <v>8</v>
      </c>
    </row>
    <row r="4284" spans="1:6" ht="18" customHeight="1">
      <c r="A4284" s="4" t="s">
        <v>138</v>
      </c>
      <c r="B4284" s="4" t="str">
        <f>"2020010230"</f>
        <v>2020010230</v>
      </c>
      <c r="C4284" s="5">
        <v>74.7</v>
      </c>
      <c r="D4284" s="6">
        <v>75</v>
      </c>
      <c r="E4284" s="7">
        <f t="shared" si="66"/>
        <v>149.69999999999999</v>
      </c>
      <c r="F4284" s="8"/>
    </row>
    <row r="4285" spans="1:6" ht="18" customHeight="1">
      <c r="A4285" s="4" t="s">
        <v>138</v>
      </c>
      <c r="B4285" s="4" t="str">
        <f>"2020046526"</f>
        <v>2020046526</v>
      </c>
      <c r="C4285" s="5">
        <v>68.3</v>
      </c>
      <c r="D4285" s="6">
        <v>74.5</v>
      </c>
      <c r="E4285" s="7">
        <f t="shared" si="66"/>
        <v>142.80000000000001</v>
      </c>
      <c r="F4285" s="8"/>
    </row>
    <row r="4286" spans="1:6" ht="18" customHeight="1">
      <c r="A4286" s="4" t="s">
        <v>138</v>
      </c>
      <c r="B4286" s="4" t="str">
        <f>"2020041008"</f>
        <v>2020041008</v>
      </c>
      <c r="C4286" s="5">
        <v>68.099999999999994</v>
      </c>
      <c r="D4286" s="6">
        <v>74</v>
      </c>
      <c r="E4286" s="7">
        <f t="shared" si="66"/>
        <v>142.1</v>
      </c>
      <c r="F4286" s="8"/>
    </row>
    <row r="4287" spans="1:6" ht="18" customHeight="1">
      <c r="A4287" s="4" t="s">
        <v>138</v>
      </c>
      <c r="B4287" s="4" t="str">
        <f>"2020024605"</f>
        <v>2020024605</v>
      </c>
      <c r="C4287" s="5">
        <v>70.5</v>
      </c>
      <c r="D4287" s="6">
        <v>65.5</v>
      </c>
      <c r="E4287" s="7">
        <f t="shared" si="66"/>
        <v>136</v>
      </c>
      <c r="F4287" s="8"/>
    </row>
    <row r="4288" spans="1:6" ht="18" customHeight="1">
      <c r="A4288" s="4" t="s">
        <v>138</v>
      </c>
      <c r="B4288" s="4" t="str">
        <f>"2020030913"</f>
        <v>2020030913</v>
      </c>
      <c r="C4288" s="5">
        <v>70</v>
      </c>
      <c r="D4288" s="6">
        <v>56.5</v>
      </c>
      <c r="E4288" s="7">
        <f t="shared" si="66"/>
        <v>126.5</v>
      </c>
      <c r="F4288" s="8"/>
    </row>
    <row r="4289" spans="1:6" ht="18" customHeight="1">
      <c r="A4289" s="4" t="s">
        <v>138</v>
      </c>
      <c r="B4289" s="4" t="str">
        <f>"2020042005"</f>
        <v>2020042005</v>
      </c>
      <c r="C4289" s="5">
        <v>64.3</v>
      </c>
      <c r="D4289" s="6">
        <v>60</v>
      </c>
      <c r="E4289" s="7">
        <f t="shared" si="66"/>
        <v>124.3</v>
      </c>
      <c r="F4289" s="8"/>
    </row>
    <row r="4290" spans="1:6" ht="18" customHeight="1">
      <c r="A4290" s="4" t="s">
        <v>138</v>
      </c>
      <c r="B4290" s="4" t="str">
        <f>"2020032702"</f>
        <v>2020032702</v>
      </c>
      <c r="C4290" s="5">
        <v>62.6</v>
      </c>
      <c r="D4290" s="6">
        <v>49</v>
      </c>
      <c r="E4290" s="7">
        <f t="shared" si="66"/>
        <v>111.6</v>
      </c>
      <c r="F4290" s="8"/>
    </row>
    <row r="4291" spans="1:6" ht="18" customHeight="1">
      <c r="A4291" s="4" t="s">
        <v>139</v>
      </c>
      <c r="B4291" s="4" t="str">
        <f>"2020047227"</f>
        <v>2020047227</v>
      </c>
      <c r="C4291" s="5">
        <v>76.5</v>
      </c>
      <c r="D4291" s="6">
        <v>78.5</v>
      </c>
      <c r="E4291" s="7">
        <f t="shared" ref="E4291:E4354" si="67">SUM(C4291:D4291)</f>
        <v>155</v>
      </c>
      <c r="F4291" s="8"/>
    </row>
    <row r="4292" spans="1:6" ht="18" customHeight="1">
      <c r="A4292" s="4" t="s">
        <v>139</v>
      </c>
      <c r="B4292" s="4" t="str">
        <f>"2020047202"</f>
        <v>2020047202</v>
      </c>
      <c r="C4292" s="5">
        <v>75.099999999999994</v>
      </c>
      <c r="D4292" s="6">
        <v>77</v>
      </c>
      <c r="E4292" s="7">
        <f t="shared" si="67"/>
        <v>152.1</v>
      </c>
      <c r="F4292" s="8"/>
    </row>
    <row r="4293" spans="1:6" ht="18" customHeight="1">
      <c r="A4293" s="4" t="s">
        <v>139</v>
      </c>
      <c r="B4293" s="4" t="str">
        <f>"2020022514"</f>
        <v>2020022514</v>
      </c>
      <c r="C4293" s="5">
        <v>71.599999999999994</v>
      </c>
      <c r="D4293" s="6">
        <v>79.5</v>
      </c>
      <c r="E4293" s="7">
        <f t="shared" si="67"/>
        <v>151.1</v>
      </c>
      <c r="F4293" s="8"/>
    </row>
    <row r="4294" spans="1:6" ht="18" customHeight="1">
      <c r="A4294" s="4" t="s">
        <v>139</v>
      </c>
      <c r="B4294" s="4" t="str">
        <f>"2020042627"</f>
        <v>2020042627</v>
      </c>
      <c r="C4294" s="5">
        <v>78.599999999999994</v>
      </c>
      <c r="D4294" s="6">
        <v>70.5</v>
      </c>
      <c r="E4294" s="7">
        <f t="shared" si="67"/>
        <v>149.1</v>
      </c>
      <c r="F4294" s="8"/>
    </row>
    <row r="4295" spans="1:6" ht="18" customHeight="1">
      <c r="A4295" s="4" t="s">
        <v>139</v>
      </c>
      <c r="B4295" s="4" t="str">
        <f>"2020045409"</f>
        <v>2020045409</v>
      </c>
      <c r="C4295" s="5">
        <v>76.8</v>
      </c>
      <c r="D4295" s="6">
        <v>70.5</v>
      </c>
      <c r="E4295" s="7">
        <f t="shared" si="67"/>
        <v>147.30000000000001</v>
      </c>
      <c r="F4295" s="8"/>
    </row>
    <row r="4296" spans="1:6" ht="18" customHeight="1">
      <c r="A4296" s="4" t="s">
        <v>139</v>
      </c>
      <c r="B4296" s="4" t="str">
        <f>"2020013418"</f>
        <v>2020013418</v>
      </c>
      <c r="C4296" s="5">
        <v>65.5</v>
      </c>
      <c r="D4296" s="6">
        <v>81</v>
      </c>
      <c r="E4296" s="7">
        <f t="shared" si="67"/>
        <v>146.5</v>
      </c>
      <c r="F4296" s="8"/>
    </row>
    <row r="4297" spans="1:6" ht="18" customHeight="1">
      <c r="A4297" s="4" t="s">
        <v>139</v>
      </c>
      <c r="B4297" s="4" t="str">
        <f>"2020020218"</f>
        <v>2020020218</v>
      </c>
      <c r="C4297" s="5">
        <v>65</v>
      </c>
      <c r="D4297" s="6">
        <v>81</v>
      </c>
      <c r="E4297" s="7">
        <f t="shared" si="67"/>
        <v>146</v>
      </c>
      <c r="F4297" s="8"/>
    </row>
    <row r="4298" spans="1:6" ht="18" customHeight="1">
      <c r="A4298" s="4" t="s">
        <v>139</v>
      </c>
      <c r="B4298" s="4" t="str">
        <f>"2020030706"</f>
        <v>2020030706</v>
      </c>
      <c r="C4298" s="5">
        <v>71.3</v>
      </c>
      <c r="D4298" s="6">
        <v>73</v>
      </c>
      <c r="E4298" s="7">
        <f t="shared" si="67"/>
        <v>144.30000000000001</v>
      </c>
      <c r="F4298" s="8"/>
    </row>
    <row r="4299" spans="1:6" ht="18" customHeight="1">
      <c r="A4299" s="4" t="s">
        <v>139</v>
      </c>
      <c r="B4299" s="4" t="str">
        <f>"2020021205"</f>
        <v>2020021205</v>
      </c>
      <c r="C4299" s="5">
        <v>72.5</v>
      </c>
      <c r="D4299" s="6">
        <v>71.5</v>
      </c>
      <c r="E4299" s="7">
        <f t="shared" si="67"/>
        <v>144</v>
      </c>
      <c r="F4299" s="8"/>
    </row>
    <row r="4300" spans="1:6" ht="18" customHeight="1">
      <c r="A4300" s="4" t="s">
        <v>139</v>
      </c>
      <c r="B4300" s="4" t="str">
        <f>"2020013725"</f>
        <v>2020013725</v>
      </c>
      <c r="C4300" s="5">
        <v>72.599999999999994</v>
      </c>
      <c r="D4300" s="6">
        <v>67</v>
      </c>
      <c r="E4300" s="7">
        <f t="shared" si="67"/>
        <v>139.6</v>
      </c>
      <c r="F4300" s="8"/>
    </row>
    <row r="4301" spans="1:6" ht="18" customHeight="1">
      <c r="A4301" s="4" t="s">
        <v>139</v>
      </c>
      <c r="B4301" s="4" t="str">
        <f>"2020013826"</f>
        <v>2020013826</v>
      </c>
      <c r="C4301" s="5">
        <v>71.099999999999994</v>
      </c>
      <c r="D4301" s="6">
        <v>68</v>
      </c>
      <c r="E4301" s="7">
        <f t="shared" si="67"/>
        <v>139.1</v>
      </c>
      <c r="F4301" s="8"/>
    </row>
    <row r="4302" spans="1:6" ht="18" customHeight="1">
      <c r="A4302" s="4" t="s">
        <v>139</v>
      </c>
      <c r="B4302" s="4" t="str">
        <f>"2020047430"</f>
        <v>2020047430</v>
      </c>
      <c r="C4302" s="5">
        <v>70.599999999999994</v>
      </c>
      <c r="D4302" s="6">
        <v>68.5</v>
      </c>
      <c r="E4302" s="7">
        <f t="shared" si="67"/>
        <v>139.1</v>
      </c>
      <c r="F4302" s="8"/>
    </row>
    <row r="4303" spans="1:6" ht="18" customHeight="1">
      <c r="A4303" s="4" t="s">
        <v>139</v>
      </c>
      <c r="B4303" s="4" t="str">
        <f>"2020013003"</f>
        <v>2020013003</v>
      </c>
      <c r="C4303" s="5">
        <v>65.5</v>
      </c>
      <c r="D4303" s="6">
        <v>73</v>
      </c>
      <c r="E4303" s="7">
        <f t="shared" si="67"/>
        <v>138.5</v>
      </c>
      <c r="F4303" s="8"/>
    </row>
    <row r="4304" spans="1:6" ht="18" customHeight="1">
      <c r="A4304" s="4" t="s">
        <v>139</v>
      </c>
      <c r="B4304" s="4" t="str">
        <f>"2020032529"</f>
        <v>2020032529</v>
      </c>
      <c r="C4304" s="5">
        <v>71.2</v>
      </c>
      <c r="D4304" s="6">
        <v>66</v>
      </c>
      <c r="E4304" s="7">
        <f t="shared" si="67"/>
        <v>137.19999999999999</v>
      </c>
      <c r="F4304" s="8"/>
    </row>
    <row r="4305" spans="1:6" ht="18" customHeight="1">
      <c r="A4305" s="4" t="s">
        <v>139</v>
      </c>
      <c r="B4305" s="4" t="str">
        <f>"2020020728"</f>
        <v>2020020728</v>
      </c>
      <c r="C4305" s="5">
        <v>70.3</v>
      </c>
      <c r="D4305" s="6">
        <v>66</v>
      </c>
      <c r="E4305" s="7">
        <f t="shared" si="67"/>
        <v>136.30000000000001</v>
      </c>
      <c r="F4305" s="8"/>
    </row>
    <row r="4306" spans="1:6" ht="18" customHeight="1">
      <c r="A4306" s="4" t="s">
        <v>139</v>
      </c>
      <c r="B4306" s="4" t="str">
        <f>"2020022105"</f>
        <v>2020022105</v>
      </c>
      <c r="C4306" s="5">
        <v>70.2</v>
      </c>
      <c r="D4306" s="6">
        <v>66</v>
      </c>
      <c r="E4306" s="7">
        <f t="shared" si="67"/>
        <v>136.19999999999999</v>
      </c>
      <c r="F4306" s="8"/>
    </row>
    <row r="4307" spans="1:6" ht="18" customHeight="1">
      <c r="A4307" s="4" t="s">
        <v>139</v>
      </c>
      <c r="B4307" s="4" t="str">
        <f>"2020013123"</f>
        <v>2020013123</v>
      </c>
      <c r="C4307" s="5">
        <v>75.099999999999994</v>
      </c>
      <c r="D4307" s="6">
        <v>61</v>
      </c>
      <c r="E4307" s="7">
        <f t="shared" si="67"/>
        <v>136.1</v>
      </c>
      <c r="F4307" s="8"/>
    </row>
    <row r="4308" spans="1:6" ht="18" customHeight="1">
      <c r="A4308" s="4" t="s">
        <v>139</v>
      </c>
      <c r="B4308" s="4" t="str">
        <f>"2020012701"</f>
        <v>2020012701</v>
      </c>
      <c r="C4308" s="5">
        <v>63</v>
      </c>
      <c r="D4308" s="6">
        <v>72.5</v>
      </c>
      <c r="E4308" s="7">
        <f t="shared" si="67"/>
        <v>135.5</v>
      </c>
      <c r="F4308" s="8"/>
    </row>
    <row r="4309" spans="1:6" ht="18" customHeight="1">
      <c r="A4309" s="4" t="s">
        <v>139</v>
      </c>
      <c r="B4309" s="4" t="str">
        <f>"2020011810"</f>
        <v>2020011810</v>
      </c>
      <c r="C4309" s="5">
        <v>67.5</v>
      </c>
      <c r="D4309" s="6">
        <v>66</v>
      </c>
      <c r="E4309" s="7">
        <f t="shared" si="67"/>
        <v>133.5</v>
      </c>
      <c r="F4309" s="8"/>
    </row>
    <row r="4310" spans="1:6" ht="18" customHeight="1">
      <c r="A4310" s="4" t="s">
        <v>139</v>
      </c>
      <c r="B4310" s="4" t="str">
        <f>"2020011710"</f>
        <v>2020011710</v>
      </c>
      <c r="C4310" s="5">
        <v>67.2</v>
      </c>
      <c r="D4310" s="6">
        <v>66</v>
      </c>
      <c r="E4310" s="7">
        <f t="shared" si="67"/>
        <v>133.19999999999999</v>
      </c>
      <c r="F4310" s="8"/>
    </row>
    <row r="4311" spans="1:6" ht="18" customHeight="1">
      <c r="A4311" s="4" t="s">
        <v>139</v>
      </c>
      <c r="B4311" s="4" t="str">
        <f>"2020042914"</f>
        <v>2020042914</v>
      </c>
      <c r="C4311" s="5">
        <v>71</v>
      </c>
      <c r="D4311" s="6">
        <v>62</v>
      </c>
      <c r="E4311" s="7">
        <f t="shared" si="67"/>
        <v>133</v>
      </c>
      <c r="F4311" s="8"/>
    </row>
    <row r="4312" spans="1:6" ht="18" customHeight="1">
      <c r="A4312" s="4" t="s">
        <v>139</v>
      </c>
      <c r="B4312" s="4" t="str">
        <f>"2020045608"</f>
        <v>2020045608</v>
      </c>
      <c r="C4312" s="5">
        <v>72.2</v>
      </c>
      <c r="D4312" s="6">
        <v>60</v>
      </c>
      <c r="E4312" s="7">
        <f t="shared" si="67"/>
        <v>132.19999999999999</v>
      </c>
      <c r="F4312" s="8"/>
    </row>
    <row r="4313" spans="1:6" ht="18" customHeight="1">
      <c r="A4313" s="4" t="s">
        <v>139</v>
      </c>
      <c r="B4313" s="4" t="str">
        <f>"2020023729"</f>
        <v>2020023729</v>
      </c>
      <c r="C4313" s="5">
        <v>70.2</v>
      </c>
      <c r="D4313" s="6">
        <v>61.5</v>
      </c>
      <c r="E4313" s="7">
        <f t="shared" si="67"/>
        <v>131.69999999999999</v>
      </c>
      <c r="F4313" s="8"/>
    </row>
    <row r="4314" spans="1:6" ht="18" customHeight="1">
      <c r="A4314" s="4" t="s">
        <v>139</v>
      </c>
      <c r="B4314" s="4" t="str">
        <f>"2020030224"</f>
        <v>2020030224</v>
      </c>
      <c r="C4314" s="5">
        <v>73.099999999999994</v>
      </c>
      <c r="D4314" s="6">
        <v>57</v>
      </c>
      <c r="E4314" s="7">
        <f t="shared" si="67"/>
        <v>130.1</v>
      </c>
      <c r="F4314" s="8"/>
    </row>
    <row r="4315" spans="1:6" ht="18" customHeight="1">
      <c r="A4315" s="4" t="s">
        <v>139</v>
      </c>
      <c r="B4315" s="4" t="str">
        <f>"2020033025"</f>
        <v>2020033025</v>
      </c>
      <c r="C4315" s="5">
        <v>69.2</v>
      </c>
      <c r="D4315" s="6">
        <v>59</v>
      </c>
      <c r="E4315" s="7">
        <f t="shared" si="67"/>
        <v>128.19999999999999</v>
      </c>
      <c r="F4315" s="8"/>
    </row>
    <row r="4316" spans="1:6" ht="18" customHeight="1">
      <c r="A4316" s="4" t="s">
        <v>139</v>
      </c>
      <c r="B4316" s="4" t="str">
        <f>"2020011918"</f>
        <v>2020011918</v>
      </c>
      <c r="C4316" s="5">
        <v>63.4</v>
      </c>
      <c r="D4316" s="6">
        <v>64.5</v>
      </c>
      <c r="E4316" s="7">
        <f t="shared" si="67"/>
        <v>127.9</v>
      </c>
      <c r="F4316" s="8"/>
    </row>
    <row r="4317" spans="1:6" ht="18" customHeight="1">
      <c r="A4317" s="4" t="s">
        <v>139</v>
      </c>
      <c r="B4317" s="4" t="str">
        <f>"2020040524"</f>
        <v>2020040524</v>
      </c>
      <c r="C4317" s="5">
        <v>70.5</v>
      </c>
      <c r="D4317" s="6">
        <v>56.5</v>
      </c>
      <c r="E4317" s="7">
        <f t="shared" si="67"/>
        <v>127</v>
      </c>
      <c r="F4317" s="8"/>
    </row>
    <row r="4318" spans="1:6" ht="18" customHeight="1">
      <c r="A4318" s="4" t="s">
        <v>139</v>
      </c>
      <c r="B4318" s="4" t="str">
        <f>"2020010429"</f>
        <v>2020010429</v>
      </c>
      <c r="C4318" s="5">
        <v>66</v>
      </c>
      <c r="D4318" s="6">
        <v>61</v>
      </c>
      <c r="E4318" s="7">
        <f t="shared" si="67"/>
        <v>127</v>
      </c>
      <c r="F4318" s="8"/>
    </row>
    <row r="4319" spans="1:6" ht="18" customHeight="1">
      <c r="A4319" s="4" t="s">
        <v>139</v>
      </c>
      <c r="B4319" s="4" t="str">
        <f>"2020040606"</f>
        <v>2020040606</v>
      </c>
      <c r="C4319" s="5">
        <v>65.900000000000006</v>
      </c>
      <c r="D4319" s="6">
        <v>60.5</v>
      </c>
      <c r="E4319" s="7">
        <f t="shared" si="67"/>
        <v>126.4</v>
      </c>
      <c r="F4319" s="8"/>
    </row>
    <row r="4320" spans="1:6" ht="18" customHeight="1">
      <c r="A4320" s="4" t="s">
        <v>139</v>
      </c>
      <c r="B4320" s="4" t="str">
        <f>"2020011430"</f>
        <v>2020011430</v>
      </c>
      <c r="C4320" s="5">
        <v>56.9</v>
      </c>
      <c r="D4320" s="6">
        <v>69.5</v>
      </c>
      <c r="E4320" s="7">
        <f t="shared" si="67"/>
        <v>126.4</v>
      </c>
      <c r="F4320" s="8"/>
    </row>
    <row r="4321" spans="1:6" ht="18" customHeight="1">
      <c r="A4321" s="4" t="s">
        <v>139</v>
      </c>
      <c r="B4321" s="4" t="str">
        <f>"2020022210"</f>
        <v>2020022210</v>
      </c>
      <c r="C4321" s="5">
        <v>56.2</v>
      </c>
      <c r="D4321" s="6">
        <v>70</v>
      </c>
      <c r="E4321" s="7">
        <f t="shared" si="67"/>
        <v>126.2</v>
      </c>
      <c r="F4321" s="8"/>
    </row>
    <row r="4322" spans="1:6" ht="18" customHeight="1">
      <c r="A4322" s="4" t="s">
        <v>139</v>
      </c>
      <c r="B4322" s="4" t="str">
        <f>"2020031612"</f>
        <v>2020031612</v>
      </c>
      <c r="C4322" s="5">
        <v>66.3</v>
      </c>
      <c r="D4322" s="6">
        <v>59.5</v>
      </c>
      <c r="E4322" s="7">
        <f t="shared" si="67"/>
        <v>125.8</v>
      </c>
      <c r="F4322" s="8"/>
    </row>
    <row r="4323" spans="1:6" ht="18" customHeight="1">
      <c r="A4323" s="4" t="s">
        <v>139</v>
      </c>
      <c r="B4323" s="4" t="str">
        <f>"2020044202"</f>
        <v>2020044202</v>
      </c>
      <c r="C4323" s="5">
        <v>61</v>
      </c>
      <c r="D4323" s="6">
        <v>63</v>
      </c>
      <c r="E4323" s="7">
        <f t="shared" si="67"/>
        <v>124</v>
      </c>
      <c r="F4323" s="8"/>
    </row>
    <row r="4324" spans="1:6" ht="18" customHeight="1">
      <c r="A4324" s="4" t="s">
        <v>139</v>
      </c>
      <c r="B4324" s="4" t="str">
        <f>"2020030118"</f>
        <v>2020030118</v>
      </c>
      <c r="C4324" s="5">
        <v>48.4</v>
      </c>
      <c r="D4324" s="6">
        <v>75</v>
      </c>
      <c r="E4324" s="7">
        <f t="shared" si="67"/>
        <v>123.4</v>
      </c>
      <c r="F4324" s="8"/>
    </row>
    <row r="4325" spans="1:6" ht="18" customHeight="1">
      <c r="A4325" s="4" t="s">
        <v>139</v>
      </c>
      <c r="B4325" s="4" t="str">
        <f>"2020020724"</f>
        <v>2020020724</v>
      </c>
      <c r="C4325" s="5">
        <v>64.7</v>
      </c>
      <c r="D4325" s="6">
        <v>57</v>
      </c>
      <c r="E4325" s="7">
        <f t="shared" si="67"/>
        <v>121.7</v>
      </c>
      <c r="F4325" s="8"/>
    </row>
    <row r="4326" spans="1:6" ht="18" customHeight="1">
      <c r="A4326" s="4" t="s">
        <v>139</v>
      </c>
      <c r="B4326" s="4" t="str">
        <f>"2020020414"</f>
        <v>2020020414</v>
      </c>
      <c r="C4326" s="5">
        <v>61</v>
      </c>
      <c r="D4326" s="6">
        <v>59</v>
      </c>
      <c r="E4326" s="7">
        <f t="shared" si="67"/>
        <v>120</v>
      </c>
      <c r="F4326" s="8"/>
    </row>
    <row r="4327" spans="1:6" ht="18" customHeight="1">
      <c r="A4327" s="4" t="s">
        <v>139</v>
      </c>
      <c r="B4327" s="4" t="str">
        <f>"2020032310"</f>
        <v>2020032310</v>
      </c>
      <c r="C4327" s="5">
        <v>56.7</v>
      </c>
      <c r="D4327" s="6">
        <v>61.5</v>
      </c>
      <c r="E4327" s="7">
        <f t="shared" si="67"/>
        <v>118.2</v>
      </c>
      <c r="F4327" s="8"/>
    </row>
    <row r="4328" spans="1:6" ht="18" customHeight="1">
      <c r="A4328" s="4" t="s">
        <v>139</v>
      </c>
      <c r="B4328" s="4" t="str">
        <f>"2020047408"</f>
        <v>2020047408</v>
      </c>
      <c r="C4328" s="5">
        <v>63.8</v>
      </c>
      <c r="D4328" s="6">
        <v>54</v>
      </c>
      <c r="E4328" s="7">
        <f t="shared" si="67"/>
        <v>117.8</v>
      </c>
      <c r="F4328" s="8"/>
    </row>
    <row r="4329" spans="1:6" ht="18" customHeight="1">
      <c r="A4329" s="4" t="s">
        <v>139</v>
      </c>
      <c r="B4329" s="4" t="str">
        <f>"2020040212"</f>
        <v>2020040212</v>
      </c>
      <c r="C4329" s="5">
        <v>64</v>
      </c>
      <c r="D4329" s="6">
        <v>53.5</v>
      </c>
      <c r="E4329" s="7">
        <f t="shared" si="67"/>
        <v>117.5</v>
      </c>
      <c r="F4329" s="8"/>
    </row>
    <row r="4330" spans="1:6" ht="18" customHeight="1">
      <c r="A4330" s="4" t="s">
        <v>139</v>
      </c>
      <c r="B4330" s="4" t="str">
        <f>"2020044828"</f>
        <v>2020044828</v>
      </c>
      <c r="C4330" s="5">
        <v>64.3</v>
      </c>
      <c r="D4330" s="6">
        <v>52</v>
      </c>
      <c r="E4330" s="7">
        <f t="shared" si="67"/>
        <v>116.3</v>
      </c>
      <c r="F4330" s="8"/>
    </row>
    <row r="4331" spans="1:6" ht="18" customHeight="1">
      <c r="A4331" s="4" t="s">
        <v>139</v>
      </c>
      <c r="B4331" s="4" t="str">
        <f>"2020011709"</f>
        <v>2020011709</v>
      </c>
      <c r="C4331" s="5">
        <v>54.1</v>
      </c>
      <c r="D4331" s="6">
        <v>62</v>
      </c>
      <c r="E4331" s="7">
        <f t="shared" si="67"/>
        <v>116.1</v>
      </c>
      <c r="F4331" s="8"/>
    </row>
    <row r="4332" spans="1:6" ht="18" customHeight="1">
      <c r="A4332" s="4" t="s">
        <v>139</v>
      </c>
      <c r="B4332" s="4" t="str">
        <f>"2020031030"</f>
        <v>2020031030</v>
      </c>
      <c r="C4332" s="5">
        <v>57.7</v>
      </c>
      <c r="D4332" s="6">
        <v>54</v>
      </c>
      <c r="E4332" s="7">
        <f t="shared" si="67"/>
        <v>111.7</v>
      </c>
      <c r="F4332" s="8"/>
    </row>
    <row r="4333" spans="1:6" ht="18" customHeight="1">
      <c r="A4333" s="4" t="s">
        <v>139</v>
      </c>
      <c r="B4333" s="4" t="str">
        <f>"2020032320"</f>
        <v>2020032320</v>
      </c>
      <c r="C4333" s="5">
        <v>60.1</v>
      </c>
      <c r="D4333" s="6">
        <v>51.5</v>
      </c>
      <c r="E4333" s="7">
        <f t="shared" si="67"/>
        <v>111.6</v>
      </c>
      <c r="F4333" s="8"/>
    </row>
    <row r="4334" spans="1:6" ht="18" customHeight="1">
      <c r="A4334" s="4" t="s">
        <v>139</v>
      </c>
      <c r="B4334" s="4" t="str">
        <f>"2020030524"</f>
        <v>2020030524</v>
      </c>
      <c r="C4334" s="5">
        <v>58.8</v>
      </c>
      <c r="D4334" s="6">
        <v>52</v>
      </c>
      <c r="E4334" s="7">
        <f t="shared" si="67"/>
        <v>110.8</v>
      </c>
      <c r="F4334" s="8"/>
    </row>
    <row r="4335" spans="1:6" ht="18" customHeight="1">
      <c r="A4335" s="4" t="s">
        <v>139</v>
      </c>
      <c r="B4335" s="4" t="str">
        <f>"2020043330"</f>
        <v>2020043330</v>
      </c>
      <c r="C4335" s="5">
        <v>56.8</v>
      </c>
      <c r="D4335" s="6">
        <v>52.5</v>
      </c>
      <c r="E4335" s="7">
        <f t="shared" si="67"/>
        <v>109.3</v>
      </c>
      <c r="F4335" s="8"/>
    </row>
    <row r="4336" spans="1:6" ht="18" customHeight="1">
      <c r="A4336" s="4" t="s">
        <v>139</v>
      </c>
      <c r="B4336" s="4" t="str">
        <f>"2020020204"</f>
        <v>2020020204</v>
      </c>
      <c r="C4336" s="5">
        <v>54.8</v>
      </c>
      <c r="D4336" s="6">
        <v>53.5</v>
      </c>
      <c r="E4336" s="7">
        <f t="shared" si="67"/>
        <v>108.3</v>
      </c>
      <c r="F4336" s="8"/>
    </row>
    <row r="4337" spans="1:6" ht="18" customHeight="1">
      <c r="A4337" s="4" t="s">
        <v>139</v>
      </c>
      <c r="B4337" s="4" t="str">
        <f>"2020044108"</f>
        <v>2020044108</v>
      </c>
      <c r="C4337" s="5">
        <v>50.6</v>
      </c>
      <c r="D4337" s="6">
        <v>57</v>
      </c>
      <c r="E4337" s="7">
        <f t="shared" si="67"/>
        <v>107.6</v>
      </c>
      <c r="F4337" s="8"/>
    </row>
    <row r="4338" spans="1:6" ht="18" customHeight="1">
      <c r="A4338" s="4" t="s">
        <v>139</v>
      </c>
      <c r="B4338" s="4" t="str">
        <f>"2020012302"</f>
        <v>2020012302</v>
      </c>
      <c r="C4338" s="5">
        <v>53.1</v>
      </c>
      <c r="D4338" s="6">
        <v>54</v>
      </c>
      <c r="E4338" s="7">
        <f t="shared" si="67"/>
        <v>107.1</v>
      </c>
      <c r="F4338" s="8"/>
    </row>
    <row r="4339" spans="1:6" ht="18" customHeight="1">
      <c r="A4339" s="4" t="s">
        <v>139</v>
      </c>
      <c r="B4339" s="4" t="str">
        <f>"2020021513"</f>
        <v>2020021513</v>
      </c>
      <c r="C4339" s="5">
        <v>53.4</v>
      </c>
      <c r="D4339" s="6">
        <v>53</v>
      </c>
      <c r="E4339" s="7">
        <f t="shared" si="67"/>
        <v>106.4</v>
      </c>
      <c r="F4339" s="8"/>
    </row>
    <row r="4340" spans="1:6" ht="18" customHeight="1">
      <c r="A4340" s="4" t="s">
        <v>139</v>
      </c>
      <c r="B4340" s="4" t="str">
        <f>"2020044730"</f>
        <v>2020044730</v>
      </c>
      <c r="C4340" s="5">
        <v>50.3</v>
      </c>
      <c r="D4340" s="6">
        <v>56</v>
      </c>
      <c r="E4340" s="7">
        <f t="shared" si="67"/>
        <v>106.3</v>
      </c>
      <c r="F4340" s="8"/>
    </row>
    <row r="4341" spans="1:6" ht="18" customHeight="1">
      <c r="A4341" s="4" t="s">
        <v>139</v>
      </c>
      <c r="B4341" s="4" t="str">
        <f>"2020012913"</f>
        <v>2020012913</v>
      </c>
      <c r="C4341" s="5">
        <v>47.9</v>
      </c>
      <c r="D4341" s="6">
        <v>51</v>
      </c>
      <c r="E4341" s="7">
        <f t="shared" si="67"/>
        <v>98.9</v>
      </c>
      <c r="F4341" s="8"/>
    </row>
    <row r="4342" spans="1:6" ht="18" customHeight="1">
      <c r="A4342" s="4" t="s">
        <v>139</v>
      </c>
      <c r="B4342" s="4" t="str">
        <f>"2020010428"</f>
        <v>2020010428</v>
      </c>
      <c r="C4342" s="5">
        <v>49.3</v>
      </c>
      <c r="D4342" s="6">
        <v>43</v>
      </c>
      <c r="E4342" s="7">
        <f t="shared" si="67"/>
        <v>92.3</v>
      </c>
      <c r="F4342" s="8"/>
    </row>
    <row r="4343" spans="1:6" ht="18" customHeight="1">
      <c r="A4343" s="4" t="s">
        <v>139</v>
      </c>
      <c r="B4343" s="4" t="str">
        <f>"2020032120"</f>
        <v>2020032120</v>
      </c>
      <c r="C4343" s="5">
        <v>44.4</v>
      </c>
      <c r="D4343" s="6">
        <v>45.5</v>
      </c>
      <c r="E4343" s="7">
        <f t="shared" si="67"/>
        <v>89.9</v>
      </c>
      <c r="F4343" s="8"/>
    </row>
    <row r="4344" spans="1:6" ht="18" customHeight="1">
      <c r="A4344" s="4" t="s">
        <v>139</v>
      </c>
      <c r="B4344" s="4" t="str">
        <f>"2020013609"</f>
        <v>2020013609</v>
      </c>
      <c r="C4344" s="5">
        <v>0</v>
      </c>
      <c r="D4344" s="6">
        <v>0</v>
      </c>
      <c r="E4344" s="7">
        <f t="shared" si="67"/>
        <v>0</v>
      </c>
      <c r="F4344" s="9" t="s">
        <v>8</v>
      </c>
    </row>
    <row r="4345" spans="1:6" ht="18" customHeight="1">
      <c r="A4345" s="4" t="s">
        <v>139</v>
      </c>
      <c r="B4345" s="4" t="str">
        <f>"2020023317"</f>
        <v>2020023317</v>
      </c>
      <c r="C4345" s="5">
        <v>0</v>
      </c>
      <c r="D4345" s="6">
        <v>0</v>
      </c>
      <c r="E4345" s="7">
        <f t="shared" si="67"/>
        <v>0</v>
      </c>
      <c r="F4345" s="8" t="s">
        <v>8</v>
      </c>
    </row>
    <row r="4346" spans="1:6" ht="18" customHeight="1">
      <c r="A4346" s="4" t="s">
        <v>139</v>
      </c>
      <c r="B4346" s="4" t="str">
        <f>"2020023318"</f>
        <v>2020023318</v>
      </c>
      <c r="C4346" s="5">
        <v>0</v>
      </c>
      <c r="D4346" s="6">
        <v>0</v>
      </c>
      <c r="E4346" s="7">
        <f t="shared" si="67"/>
        <v>0</v>
      </c>
      <c r="F4346" s="8" t="s">
        <v>8</v>
      </c>
    </row>
    <row r="4347" spans="1:6" ht="18" customHeight="1">
      <c r="A4347" s="4" t="s">
        <v>139</v>
      </c>
      <c r="B4347" s="4" t="str">
        <f>"2020023408"</f>
        <v>2020023408</v>
      </c>
      <c r="C4347" s="5">
        <v>0</v>
      </c>
      <c r="D4347" s="6">
        <v>0</v>
      </c>
      <c r="E4347" s="7">
        <f t="shared" si="67"/>
        <v>0</v>
      </c>
      <c r="F4347" s="8" t="s">
        <v>8</v>
      </c>
    </row>
    <row r="4348" spans="1:6" ht="18" customHeight="1">
      <c r="A4348" s="4" t="s">
        <v>139</v>
      </c>
      <c r="B4348" s="4" t="str">
        <f>"2020023512"</f>
        <v>2020023512</v>
      </c>
      <c r="C4348" s="5">
        <v>0</v>
      </c>
      <c r="D4348" s="6">
        <v>0</v>
      </c>
      <c r="E4348" s="7">
        <f t="shared" si="67"/>
        <v>0</v>
      </c>
      <c r="F4348" s="8" t="s">
        <v>8</v>
      </c>
    </row>
    <row r="4349" spans="1:6" ht="18" customHeight="1">
      <c r="A4349" s="4" t="s">
        <v>139</v>
      </c>
      <c r="B4349" s="4" t="str">
        <f>"2020024028"</f>
        <v>2020024028</v>
      </c>
      <c r="C4349" s="5">
        <v>0</v>
      </c>
      <c r="D4349" s="6">
        <v>0</v>
      </c>
      <c r="E4349" s="7">
        <f t="shared" si="67"/>
        <v>0</v>
      </c>
      <c r="F4349" s="8" t="s">
        <v>8</v>
      </c>
    </row>
    <row r="4350" spans="1:6" ht="18" customHeight="1">
      <c r="A4350" s="4" t="s">
        <v>139</v>
      </c>
      <c r="B4350" s="4" t="str">
        <f>"2020030430"</f>
        <v>2020030430</v>
      </c>
      <c r="C4350" s="5">
        <v>0</v>
      </c>
      <c r="D4350" s="6">
        <v>0</v>
      </c>
      <c r="E4350" s="7">
        <f t="shared" si="67"/>
        <v>0</v>
      </c>
      <c r="F4350" s="8" t="s">
        <v>8</v>
      </c>
    </row>
    <row r="4351" spans="1:6" ht="18" customHeight="1">
      <c r="A4351" s="4" t="s">
        <v>139</v>
      </c>
      <c r="B4351" s="4" t="str">
        <f>"2020032112"</f>
        <v>2020032112</v>
      </c>
      <c r="C4351" s="5">
        <v>0</v>
      </c>
      <c r="D4351" s="6">
        <v>0</v>
      </c>
      <c r="E4351" s="7">
        <f t="shared" si="67"/>
        <v>0</v>
      </c>
      <c r="F4351" s="8" t="s">
        <v>8</v>
      </c>
    </row>
    <row r="4352" spans="1:6" ht="18" customHeight="1">
      <c r="A4352" s="4" t="s">
        <v>139</v>
      </c>
      <c r="B4352" s="4" t="str">
        <f>"2020032606"</f>
        <v>2020032606</v>
      </c>
      <c r="C4352" s="5">
        <v>0</v>
      </c>
      <c r="D4352" s="6">
        <v>0</v>
      </c>
      <c r="E4352" s="7">
        <f t="shared" si="67"/>
        <v>0</v>
      </c>
      <c r="F4352" s="8" t="s">
        <v>8</v>
      </c>
    </row>
    <row r="4353" spans="1:6" ht="18" customHeight="1">
      <c r="A4353" s="4" t="s">
        <v>139</v>
      </c>
      <c r="B4353" s="4" t="str">
        <f>"2020032704"</f>
        <v>2020032704</v>
      </c>
      <c r="C4353" s="5">
        <v>0</v>
      </c>
      <c r="D4353" s="6">
        <v>0</v>
      </c>
      <c r="E4353" s="7">
        <f t="shared" si="67"/>
        <v>0</v>
      </c>
      <c r="F4353" s="8" t="s">
        <v>8</v>
      </c>
    </row>
    <row r="4354" spans="1:6" ht="18" customHeight="1">
      <c r="A4354" s="4" t="s">
        <v>139</v>
      </c>
      <c r="B4354" s="4" t="str">
        <f>"2020033109"</f>
        <v>2020033109</v>
      </c>
      <c r="C4354" s="5">
        <v>0</v>
      </c>
      <c r="D4354" s="6">
        <v>0</v>
      </c>
      <c r="E4354" s="7">
        <f t="shared" si="67"/>
        <v>0</v>
      </c>
      <c r="F4354" s="8" t="s">
        <v>8</v>
      </c>
    </row>
    <row r="4355" spans="1:6" ht="18" customHeight="1">
      <c r="A4355" s="4" t="s">
        <v>139</v>
      </c>
      <c r="B4355" s="4" t="str">
        <f>"2020033206"</f>
        <v>2020033206</v>
      </c>
      <c r="C4355" s="5">
        <v>0</v>
      </c>
      <c r="D4355" s="6">
        <v>0</v>
      </c>
      <c r="E4355" s="7">
        <f t="shared" ref="E4355:E4418" si="68">SUM(C4355:D4355)</f>
        <v>0</v>
      </c>
      <c r="F4355" s="8" t="s">
        <v>8</v>
      </c>
    </row>
    <row r="4356" spans="1:6" ht="18" customHeight="1">
      <c r="A4356" s="4" t="s">
        <v>139</v>
      </c>
      <c r="B4356" s="4" t="str">
        <f>"2020033915"</f>
        <v>2020033915</v>
      </c>
      <c r="C4356" s="5">
        <v>0</v>
      </c>
      <c r="D4356" s="6">
        <v>0</v>
      </c>
      <c r="E4356" s="7">
        <f t="shared" si="68"/>
        <v>0</v>
      </c>
      <c r="F4356" s="8" t="s">
        <v>8</v>
      </c>
    </row>
    <row r="4357" spans="1:6" ht="18" customHeight="1">
      <c r="A4357" s="4" t="s">
        <v>139</v>
      </c>
      <c r="B4357" s="4" t="str">
        <f>"2020043723"</f>
        <v>2020043723</v>
      </c>
      <c r="C4357" s="5">
        <v>0</v>
      </c>
      <c r="D4357" s="6">
        <v>0</v>
      </c>
      <c r="E4357" s="7">
        <f t="shared" si="68"/>
        <v>0</v>
      </c>
      <c r="F4357" s="8" t="s">
        <v>8</v>
      </c>
    </row>
    <row r="4358" spans="1:6" ht="18" customHeight="1">
      <c r="A4358" s="4" t="s">
        <v>139</v>
      </c>
      <c r="B4358" s="4" t="str">
        <f>"2020045504"</f>
        <v>2020045504</v>
      </c>
      <c r="C4358" s="5">
        <v>0</v>
      </c>
      <c r="D4358" s="6">
        <v>0</v>
      </c>
      <c r="E4358" s="7">
        <f t="shared" si="68"/>
        <v>0</v>
      </c>
      <c r="F4358" s="8" t="s">
        <v>8</v>
      </c>
    </row>
    <row r="4359" spans="1:6" ht="18" customHeight="1">
      <c r="A4359" s="4" t="s">
        <v>139</v>
      </c>
      <c r="B4359" s="4" t="str">
        <f>"2020045601"</f>
        <v>2020045601</v>
      </c>
      <c r="C4359" s="5">
        <v>0</v>
      </c>
      <c r="D4359" s="6">
        <v>0</v>
      </c>
      <c r="E4359" s="7">
        <f t="shared" si="68"/>
        <v>0</v>
      </c>
      <c r="F4359" s="8" t="s">
        <v>8</v>
      </c>
    </row>
    <row r="4360" spans="1:6" ht="18" customHeight="1">
      <c r="A4360" s="4" t="s">
        <v>139</v>
      </c>
      <c r="B4360" s="4" t="str">
        <f>"2020046425"</f>
        <v>2020046425</v>
      </c>
      <c r="C4360" s="5">
        <v>0</v>
      </c>
      <c r="D4360" s="6">
        <v>0</v>
      </c>
      <c r="E4360" s="7">
        <f t="shared" si="68"/>
        <v>0</v>
      </c>
      <c r="F4360" s="8" t="s">
        <v>8</v>
      </c>
    </row>
    <row r="4361" spans="1:6" ht="18" customHeight="1">
      <c r="A4361" s="4" t="s">
        <v>140</v>
      </c>
      <c r="B4361" s="4" t="str">
        <f>"2020043411"</f>
        <v>2020043411</v>
      </c>
      <c r="C4361" s="5">
        <v>69.099999999999994</v>
      </c>
      <c r="D4361" s="6">
        <v>84.5</v>
      </c>
      <c r="E4361" s="7">
        <f t="shared" si="68"/>
        <v>153.6</v>
      </c>
      <c r="F4361" s="8"/>
    </row>
    <row r="4362" spans="1:6" ht="18" customHeight="1">
      <c r="A4362" s="4" t="s">
        <v>140</v>
      </c>
      <c r="B4362" s="4" t="str">
        <f>"2020011110"</f>
        <v>2020011110</v>
      </c>
      <c r="C4362" s="5">
        <v>73.099999999999994</v>
      </c>
      <c r="D4362" s="6">
        <v>76</v>
      </c>
      <c r="E4362" s="7">
        <f t="shared" si="68"/>
        <v>149.1</v>
      </c>
      <c r="F4362" s="8"/>
    </row>
    <row r="4363" spans="1:6" ht="18" customHeight="1">
      <c r="A4363" s="4" t="s">
        <v>140</v>
      </c>
      <c r="B4363" s="4" t="str">
        <f>"2020021201"</f>
        <v>2020021201</v>
      </c>
      <c r="C4363" s="5">
        <v>66.099999999999994</v>
      </c>
      <c r="D4363" s="6">
        <v>80.5</v>
      </c>
      <c r="E4363" s="7">
        <f t="shared" si="68"/>
        <v>146.6</v>
      </c>
      <c r="F4363" s="8"/>
    </row>
    <row r="4364" spans="1:6" ht="18" customHeight="1">
      <c r="A4364" s="4" t="s">
        <v>140</v>
      </c>
      <c r="B4364" s="4" t="str">
        <f>"2020020119"</f>
        <v>2020020119</v>
      </c>
      <c r="C4364" s="5">
        <v>68</v>
      </c>
      <c r="D4364" s="6">
        <v>76.5</v>
      </c>
      <c r="E4364" s="7">
        <f t="shared" si="68"/>
        <v>144.5</v>
      </c>
      <c r="F4364" s="8"/>
    </row>
    <row r="4365" spans="1:6" ht="18" customHeight="1">
      <c r="A4365" s="4" t="s">
        <v>140</v>
      </c>
      <c r="B4365" s="4" t="str">
        <f>"2020011711"</f>
        <v>2020011711</v>
      </c>
      <c r="C4365" s="5">
        <v>68.3</v>
      </c>
      <c r="D4365" s="6">
        <v>76</v>
      </c>
      <c r="E4365" s="7">
        <f t="shared" si="68"/>
        <v>144.30000000000001</v>
      </c>
      <c r="F4365" s="8"/>
    </row>
    <row r="4366" spans="1:6" ht="18" customHeight="1">
      <c r="A4366" s="4" t="s">
        <v>140</v>
      </c>
      <c r="B4366" s="4" t="str">
        <f>"2020043026"</f>
        <v>2020043026</v>
      </c>
      <c r="C4366" s="5">
        <v>69.599999999999994</v>
      </c>
      <c r="D4366" s="6">
        <v>72</v>
      </c>
      <c r="E4366" s="7">
        <f t="shared" si="68"/>
        <v>141.6</v>
      </c>
      <c r="F4366" s="8"/>
    </row>
    <row r="4367" spans="1:6" ht="18" customHeight="1">
      <c r="A4367" s="4" t="s">
        <v>140</v>
      </c>
      <c r="B4367" s="4" t="str">
        <f>"2020045212"</f>
        <v>2020045212</v>
      </c>
      <c r="C4367" s="5">
        <v>64.900000000000006</v>
      </c>
      <c r="D4367" s="6">
        <v>75</v>
      </c>
      <c r="E4367" s="7">
        <f t="shared" si="68"/>
        <v>139.9</v>
      </c>
      <c r="F4367" s="8"/>
    </row>
    <row r="4368" spans="1:6" ht="18" customHeight="1">
      <c r="A4368" s="4" t="s">
        <v>140</v>
      </c>
      <c r="B4368" s="4" t="str">
        <f>"2020010415"</f>
        <v>2020010415</v>
      </c>
      <c r="C4368" s="5">
        <v>68.7</v>
      </c>
      <c r="D4368" s="6">
        <v>68</v>
      </c>
      <c r="E4368" s="7">
        <f t="shared" si="68"/>
        <v>136.69999999999999</v>
      </c>
      <c r="F4368" s="8"/>
    </row>
    <row r="4369" spans="1:6" ht="18" customHeight="1">
      <c r="A4369" s="4" t="s">
        <v>140</v>
      </c>
      <c r="B4369" s="4" t="str">
        <f>"2020041501"</f>
        <v>2020041501</v>
      </c>
      <c r="C4369" s="5">
        <v>64.7</v>
      </c>
      <c r="D4369" s="6">
        <v>68.5</v>
      </c>
      <c r="E4369" s="7">
        <f t="shared" si="68"/>
        <v>133.19999999999999</v>
      </c>
      <c r="F4369" s="8"/>
    </row>
    <row r="4370" spans="1:6" ht="18" customHeight="1">
      <c r="A4370" s="4" t="s">
        <v>140</v>
      </c>
      <c r="B4370" s="4" t="str">
        <f>"2020034007"</f>
        <v>2020034007</v>
      </c>
      <c r="C4370" s="5">
        <v>63.1</v>
      </c>
      <c r="D4370" s="6">
        <v>66.5</v>
      </c>
      <c r="E4370" s="7">
        <f t="shared" si="68"/>
        <v>129.6</v>
      </c>
      <c r="F4370" s="8"/>
    </row>
    <row r="4371" spans="1:6" ht="18" customHeight="1">
      <c r="A4371" s="4" t="s">
        <v>140</v>
      </c>
      <c r="B4371" s="4" t="str">
        <f>"2020041819"</f>
        <v>2020041819</v>
      </c>
      <c r="C4371" s="5">
        <v>68.599999999999994</v>
      </c>
      <c r="D4371" s="6">
        <v>60.5</v>
      </c>
      <c r="E4371" s="7">
        <f t="shared" si="68"/>
        <v>129.1</v>
      </c>
      <c r="F4371" s="8"/>
    </row>
    <row r="4372" spans="1:6" ht="18" customHeight="1">
      <c r="A4372" s="4" t="s">
        <v>140</v>
      </c>
      <c r="B4372" s="4" t="str">
        <f>"2020024824"</f>
        <v>2020024824</v>
      </c>
      <c r="C4372" s="5">
        <v>63.5</v>
      </c>
      <c r="D4372" s="6">
        <v>65.5</v>
      </c>
      <c r="E4372" s="7">
        <f t="shared" si="68"/>
        <v>129</v>
      </c>
      <c r="F4372" s="8"/>
    </row>
    <row r="4373" spans="1:6" ht="18" customHeight="1">
      <c r="A4373" s="4" t="s">
        <v>140</v>
      </c>
      <c r="B4373" s="4" t="str">
        <f>"2020045730"</f>
        <v>2020045730</v>
      </c>
      <c r="C4373" s="5">
        <v>65.3</v>
      </c>
      <c r="D4373" s="6">
        <v>63</v>
      </c>
      <c r="E4373" s="7">
        <f t="shared" si="68"/>
        <v>128.30000000000001</v>
      </c>
      <c r="F4373" s="8"/>
    </row>
    <row r="4374" spans="1:6" ht="18" customHeight="1">
      <c r="A4374" s="4" t="s">
        <v>140</v>
      </c>
      <c r="B4374" s="4" t="str">
        <f>"2020024613"</f>
        <v>2020024613</v>
      </c>
      <c r="C4374" s="5">
        <v>65.3</v>
      </c>
      <c r="D4374" s="6">
        <v>60.5</v>
      </c>
      <c r="E4374" s="7">
        <f t="shared" si="68"/>
        <v>125.8</v>
      </c>
      <c r="F4374" s="8"/>
    </row>
    <row r="4375" spans="1:6" ht="18" customHeight="1">
      <c r="A4375" s="4" t="s">
        <v>140</v>
      </c>
      <c r="B4375" s="4" t="str">
        <f>"2020012703"</f>
        <v>2020012703</v>
      </c>
      <c r="C4375" s="5">
        <v>54.8</v>
      </c>
      <c r="D4375" s="6">
        <v>69.5</v>
      </c>
      <c r="E4375" s="7">
        <f t="shared" si="68"/>
        <v>124.3</v>
      </c>
      <c r="F4375" s="8"/>
    </row>
    <row r="4376" spans="1:6" ht="18" customHeight="1">
      <c r="A4376" s="4" t="s">
        <v>140</v>
      </c>
      <c r="B4376" s="4" t="str">
        <f>"2020043901"</f>
        <v>2020043901</v>
      </c>
      <c r="C4376" s="5">
        <v>62.1</v>
      </c>
      <c r="D4376" s="6">
        <v>61.5</v>
      </c>
      <c r="E4376" s="7">
        <f t="shared" si="68"/>
        <v>123.6</v>
      </c>
      <c r="F4376" s="8"/>
    </row>
    <row r="4377" spans="1:6" ht="18" customHeight="1">
      <c r="A4377" s="4" t="s">
        <v>140</v>
      </c>
      <c r="B4377" s="4" t="str">
        <f>"2020022312"</f>
        <v>2020022312</v>
      </c>
      <c r="C4377" s="5">
        <v>45.6</v>
      </c>
      <c r="D4377" s="6">
        <v>47</v>
      </c>
      <c r="E4377" s="7">
        <f t="shared" si="68"/>
        <v>92.6</v>
      </c>
      <c r="F4377" s="8"/>
    </row>
    <row r="4378" spans="1:6" ht="18" customHeight="1">
      <c r="A4378" s="4" t="s">
        <v>140</v>
      </c>
      <c r="B4378" s="4" t="str">
        <f>"2020013828"</f>
        <v>2020013828</v>
      </c>
      <c r="C4378" s="5">
        <v>0</v>
      </c>
      <c r="D4378" s="6">
        <v>0</v>
      </c>
      <c r="E4378" s="7">
        <f t="shared" si="68"/>
        <v>0</v>
      </c>
      <c r="F4378" s="9" t="s">
        <v>8</v>
      </c>
    </row>
    <row r="4379" spans="1:6" ht="18" customHeight="1">
      <c r="A4379" s="4" t="s">
        <v>140</v>
      </c>
      <c r="B4379" s="4" t="str">
        <f>"2020022102"</f>
        <v>2020022102</v>
      </c>
      <c r="C4379" s="5">
        <v>0</v>
      </c>
      <c r="D4379" s="6">
        <v>0</v>
      </c>
      <c r="E4379" s="7">
        <f t="shared" si="68"/>
        <v>0</v>
      </c>
      <c r="F4379" s="8" t="s">
        <v>8</v>
      </c>
    </row>
    <row r="4380" spans="1:6" ht="18" customHeight="1">
      <c r="A4380" s="4" t="s">
        <v>140</v>
      </c>
      <c r="B4380" s="4" t="str">
        <f>"2020042104"</f>
        <v>2020042104</v>
      </c>
      <c r="C4380" s="5">
        <v>0</v>
      </c>
      <c r="D4380" s="6">
        <v>0</v>
      </c>
      <c r="E4380" s="7">
        <f t="shared" si="68"/>
        <v>0</v>
      </c>
      <c r="F4380" s="8" t="s">
        <v>8</v>
      </c>
    </row>
    <row r="4381" spans="1:6" ht="18" customHeight="1">
      <c r="A4381" s="4" t="s">
        <v>141</v>
      </c>
      <c r="B4381" s="4" t="str">
        <f>"2020044113"</f>
        <v>2020044113</v>
      </c>
      <c r="C4381" s="5">
        <v>69.7</v>
      </c>
      <c r="D4381" s="6">
        <v>75.5</v>
      </c>
      <c r="E4381" s="7">
        <f t="shared" si="68"/>
        <v>145.19999999999999</v>
      </c>
      <c r="F4381" s="8"/>
    </row>
    <row r="4382" spans="1:6" ht="18" customHeight="1">
      <c r="A4382" s="4" t="s">
        <v>141</v>
      </c>
      <c r="B4382" s="4" t="str">
        <f>"2020033314"</f>
        <v>2020033314</v>
      </c>
      <c r="C4382" s="5">
        <v>72</v>
      </c>
      <c r="D4382" s="6">
        <v>71</v>
      </c>
      <c r="E4382" s="7">
        <f t="shared" si="68"/>
        <v>143</v>
      </c>
      <c r="F4382" s="8"/>
    </row>
    <row r="4383" spans="1:6" ht="18" customHeight="1">
      <c r="A4383" s="4" t="s">
        <v>141</v>
      </c>
      <c r="B4383" s="4" t="str">
        <f>"2020013726"</f>
        <v>2020013726</v>
      </c>
      <c r="C4383" s="5">
        <v>67</v>
      </c>
      <c r="D4383" s="6">
        <v>73</v>
      </c>
      <c r="E4383" s="7">
        <f t="shared" si="68"/>
        <v>140</v>
      </c>
      <c r="F4383" s="8"/>
    </row>
    <row r="4384" spans="1:6" ht="18" customHeight="1">
      <c r="A4384" s="4" t="s">
        <v>141</v>
      </c>
      <c r="B4384" s="4" t="str">
        <f>"2020043229"</f>
        <v>2020043229</v>
      </c>
      <c r="C4384" s="5">
        <v>68.7</v>
      </c>
      <c r="D4384" s="6">
        <v>64</v>
      </c>
      <c r="E4384" s="7">
        <f t="shared" si="68"/>
        <v>132.69999999999999</v>
      </c>
      <c r="F4384" s="8"/>
    </row>
    <row r="4385" spans="1:6" ht="18" customHeight="1">
      <c r="A4385" s="4" t="s">
        <v>141</v>
      </c>
      <c r="B4385" s="4" t="str">
        <f>"2020040919"</f>
        <v>2020040919</v>
      </c>
      <c r="C4385" s="5">
        <v>52.7</v>
      </c>
      <c r="D4385" s="6">
        <v>56.5</v>
      </c>
      <c r="E4385" s="7">
        <f t="shared" si="68"/>
        <v>109.2</v>
      </c>
      <c r="F4385" s="8"/>
    </row>
    <row r="4386" spans="1:6" ht="18" customHeight="1">
      <c r="A4386" s="4" t="s">
        <v>142</v>
      </c>
      <c r="B4386" s="4" t="str">
        <f>"2020020829"</f>
        <v>2020020829</v>
      </c>
      <c r="C4386" s="5">
        <v>82.5</v>
      </c>
      <c r="D4386" s="6">
        <v>79</v>
      </c>
      <c r="E4386" s="7">
        <f t="shared" si="68"/>
        <v>161.5</v>
      </c>
      <c r="F4386" s="8"/>
    </row>
    <row r="4387" spans="1:6" ht="18" customHeight="1">
      <c r="A4387" s="4" t="s">
        <v>142</v>
      </c>
      <c r="B4387" s="4" t="str">
        <f>"2020030908"</f>
        <v>2020030908</v>
      </c>
      <c r="C4387" s="5">
        <v>72</v>
      </c>
      <c r="D4387" s="6">
        <v>85.5</v>
      </c>
      <c r="E4387" s="7">
        <f t="shared" si="68"/>
        <v>157.5</v>
      </c>
      <c r="F4387" s="8"/>
    </row>
    <row r="4388" spans="1:6" ht="18" customHeight="1">
      <c r="A4388" s="4" t="s">
        <v>142</v>
      </c>
      <c r="B4388" s="4" t="str">
        <f>"2020030230"</f>
        <v>2020030230</v>
      </c>
      <c r="C4388" s="5">
        <v>79.3</v>
      </c>
      <c r="D4388" s="6">
        <v>78</v>
      </c>
      <c r="E4388" s="7">
        <f t="shared" si="68"/>
        <v>157.30000000000001</v>
      </c>
      <c r="F4388" s="8"/>
    </row>
    <row r="4389" spans="1:6" ht="18" customHeight="1">
      <c r="A4389" s="4" t="s">
        <v>142</v>
      </c>
      <c r="B4389" s="4" t="str">
        <f>"2020045423"</f>
        <v>2020045423</v>
      </c>
      <c r="C4389" s="5">
        <v>74.900000000000006</v>
      </c>
      <c r="D4389" s="6">
        <v>81</v>
      </c>
      <c r="E4389" s="7">
        <f t="shared" si="68"/>
        <v>155.9</v>
      </c>
      <c r="F4389" s="8"/>
    </row>
    <row r="4390" spans="1:6" ht="18" customHeight="1">
      <c r="A4390" s="4" t="s">
        <v>142</v>
      </c>
      <c r="B4390" s="4" t="str">
        <f>"2020045008"</f>
        <v>2020045008</v>
      </c>
      <c r="C4390" s="5">
        <v>71.3</v>
      </c>
      <c r="D4390" s="6">
        <v>79</v>
      </c>
      <c r="E4390" s="7">
        <f t="shared" si="68"/>
        <v>150.30000000000001</v>
      </c>
      <c r="F4390" s="8"/>
    </row>
    <row r="4391" spans="1:6" ht="18" customHeight="1">
      <c r="A4391" s="4" t="s">
        <v>142</v>
      </c>
      <c r="B4391" s="4" t="str">
        <f>"2020013502"</f>
        <v>2020013502</v>
      </c>
      <c r="C4391" s="5">
        <v>77.900000000000006</v>
      </c>
      <c r="D4391" s="6">
        <v>72</v>
      </c>
      <c r="E4391" s="7">
        <f t="shared" si="68"/>
        <v>149.9</v>
      </c>
      <c r="F4391" s="8"/>
    </row>
    <row r="4392" spans="1:6" ht="18" customHeight="1">
      <c r="A4392" s="4" t="s">
        <v>142</v>
      </c>
      <c r="B4392" s="4" t="str">
        <f>"2020033420"</f>
        <v>2020033420</v>
      </c>
      <c r="C4392" s="5">
        <v>75.599999999999994</v>
      </c>
      <c r="D4392" s="6">
        <v>74</v>
      </c>
      <c r="E4392" s="7">
        <f t="shared" si="68"/>
        <v>149.6</v>
      </c>
      <c r="F4392" s="8"/>
    </row>
    <row r="4393" spans="1:6" ht="18" customHeight="1">
      <c r="A4393" s="4" t="s">
        <v>142</v>
      </c>
      <c r="B4393" s="4" t="str">
        <f>"2020032415"</f>
        <v>2020032415</v>
      </c>
      <c r="C4393" s="5">
        <v>67.900000000000006</v>
      </c>
      <c r="D4393" s="6">
        <v>81</v>
      </c>
      <c r="E4393" s="7">
        <f t="shared" si="68"/>
        <v>148.9</v>
      </c>
      <c r="F4393" s="8"/>
    </row>
    <row r="4394" spans="1:6" ht="18" customHeight="1">
      <c r="A4394" s="4" t="s">
        <v>142</v>
      </c>
      <c r="B4394" s="4" t="str">
        <f>"2020047030"</f>
        <v>2020047030</v>
      </c>
      <c r="C4394" s="5">
        <v>66.5</v>
      </c>
      <c r="D4394" s="6">
        <v>80</v>
      </c>
      <c r="E4394" s="7">
        <f t="shared" si="68"/>
        <v>146.5</v>
      </c>
      <c r="F4394" s="8"/>
    </row>
    <row r="4395" spans="1:6" ht="18" customHeight="1">
      <c r="A4395" s="4" t="s">
        <v>142</v>
      </c>
      <c r="B4395" s="4" t="str">
        <f>"2020020717"</f>
        <v>2020020717</v>
      </c>
      <c r="C4395" s="5">
        <v>67</v>
      </c>
      <c r="D4395" s="6">
        <v>79</v>
      </c>
      <c r="E4395" s="7">
        <f t="shared" si="68"/>
        <v>146</v>
      </c>
      <c r="F4395" s="8"/>
    </row>
    <row r="4396" spans="1:6" ht="18" customHeight="1">
      <c r="A4396" s="4" t="s">
        <v>142</v>
      </c>
      <c r="B4396" s="4" t="str">
        <f>"2020030423"</f>
        <v>2020030423</v>
      </c>
      <c r="C4396" s="5">
        <v>67.400000000000006</v>
      </c>
      <c r="D4396" s="6">
        <v>78.5</v>
      </c>
      <c r="E4396" s="7">
        <f t="shared" si="68"/>
        <v>145.9</v>
      </c>
      <c r="F4396" s="8"/>
    </row>
    <row r="4397" spans="1:6" ht="18" customHeight="1">
      <c r="A4397" s="4" t="s">
        <v>142</v>
      </c>
      <c r="B4397" s="4" t="str">
        <f>"2020010925"</f>
        <v>2020010925</v>
      </c>
      <c r="C4397" s="5">
        <v>62.3</v>
      </c>
      <c r="D4397" s="6">
        <v>78</v>
      </c>
      <c r="E4397" s="7">
        <f t="shared" si="68"/>
        <v>140.30000000000001</v>
      </c>
      <c r="F4397" s="8"/>
    </row>
    <row r="4398" spans="1:6" ht="18" customHeight="1">
      <c r="A4398" s="4" t="s">
        <v>142</v>
      </c>
      <c r="B4398" s="4" t="str">
        <f>"2020020222"</f>
        <v>2020020222</v>
      </c>
      <c r="C4398" s="5">
        <v>62.9</v>
      </c>
      <c r="D4398" s="6">
        <v>77</v>
      </c>
      <c r="E4398" s="7">
        <f t="shared" si="68"/>
        <v>139.9</v>
      </c>
      <c r="F4398" s="8"/>
    </row>
    <row r="4399" spans="1:6" ht="18" customHeight="1">
      <c r="A4399" s="4" t="s">
        <v>142</v>
      </c>
      <c r="B4399" s="4" t="str">
        <f>"2020031020"</f>
        <v>2020031020</v>
      </c>
      <c r="C4399" s="5">
        <v>72.3</v>
      </c>
      <c r="D4399" s="6">
        <v>67</v>
      </c>
      <c r="E4399" s="7">
        <f t="shared" si="68"/>
        <v>139.30000000000001</v>
      </c>
      <c r="F4399" s="8"/>
    </row>
    <row r="4400" spans="1:6" ht="18" customHeight="1">
      <c r="A4400" s="4" t="s">
        <v>142</v>
      </c>
      <c r="B4400" s="4" t="str">
        <f>"2020024130"</f>
        <v>2020024130</v>
      </c>
      <c r="C4400" s="5">
        <v>60.2</v>
      </c>
      <c r="D4400" s="6">
        <v>79</v>
      </c>
      <c r="E4400" s="7">
        <f t="shared" si="68"/>
        <v>139.19999999999999</v>
      </c>
      <c r="F4400" s="8"/>
    </row>
    <row r="4401" spans="1:6" ht="18" customHeight="1">
      <c r="A4401" s="4" t="s">
        <v>142</v>
      </c>
      <c r="B4401" s="4" t="str">
        <f>"2020041602"</f>
        <v>2020041602</v>
      </c>
      <c r="C4401" s="5">
        <v>66</v>
      </c>
      <c r="D4401" s="6">
        <v>72.5</v>
      </c>
      <c r="E4401" s="7">
        <f t="shared" si="68"/>
        <v>138.5</v>
      </c>
      <c r="F4401" s="8"/>
    </row>
    <row r="4402" spans="1:6" ht="18" customHeight="1">
      <c r="A4402" s="4" t="s">
        <v>142</v>
      </c>
      <c r="B4402" s="4" t="str">
        <f>"2020041207"</f>
        <v>2020041207</v>
      </c>
      <c r="C4402" s="5">
        <v>66.400000000000006</v>
      </c>
      <c r="D4402" s="6">
        <v>71.5</v>
      </c>
      <c r="E4402" s="7">
        <f t="shared" si="68"/>
        <v>137.9</v>
      </c>
      <c r="F4402" s="8"/>
    </row>
    <row r="4403" spans="1:6" ht="18" customHeight="1">
      <c r="A4403" s="4" t="s">
        <v>142</v>
      </c>
      <c r="B4403" s="4" t="str">
        <f>"2020023815"</f>
        <v>2020023815</v>
      </c>
      <c r="C4403" s="5">
        <v>68.2</v>
      </c>
      <c r="D4403" s="6">
        <v>69.5</v>
      </c>
      <c r="E4403" s="7">
        <f t="shared" si="68"/>
        <v>137.69999999999999</v>
      </c>
      <c r="F4403" s="8"/>
    </row>
    <row r="4404" spans="1:6" ht="18" customHeight="1">
      <c r="A4404" s="4" t="s">
        <v>142</v>
      </c>
      <c r="B4404" s="4" t="str">
        <f>"2020020401"</f>
        <v>2020020401</v>
      </c>
      <c r="C4404" s="5">
        <v>61.5</v>
      </c>
      <c r="D4404" s="6">
        <v>75.5</v>
      </c>
      <c r="E4404" s="7">
        <f t="shared" si="68"/>
        <v>137</v>
      </c>
      <c r="F4404" s="8"/>
    </row>
    <row r="4405" spans="1:6" ht="18" customHeight="1">
      <c r="A4405" s="4" t="s">
        <v>142</v>
      </c>
      <c r="B4405" s="4" t="str">
        <f>"2020030818"</f>
        <v>2020030818</v>
      </c>
      <c r="C4405" s="5">
        <v>67</v>
      </c>
      <c r="D4405" s="6">
        <v>69.5</v>
      </c>
      <c r="E4405" s="7">
        <f t="shared" si="68"/>
        <v>136.5</v>
      </c>
      <c r="F4405" s="8"/>
    </row>
    <row r="4406" spans="1:6" ht="18" customHeight="1">
      <c r="A4406" s="4" t="s">
        <v>142</v>
      </c>
      <c r="B4406" s="4" t="str">
        <f>"2020030607"</f>
        <v>2020030607</v>
      </c>
      <c r="C4406" s="5">
        <v>56.5</v>
      </c>
      <c r="D4406" s="6">
        <v>80</v>
      </c>
      <c r="E4406" s="7">
        <f t="shared" si="68"/>
        <v>136.5</v>
      </c>
      <c r="F4406" s="8"/>
    </row>
    <row r="4407" spans="1:6" ht="18" customHeight="1">
      <c r="A4407" s="4" t="s">
        <v>142</v>
      </c>
      <c r="B4407" s="4" t="str">
        <f>"2020010416"</f>
        <v>2020010416</v>
      </c>
      <c r="C4407" s="5">
        <v>68.400000000000006</v>
      </c>
      <c r="D4407" s="6">
        <v>67.5</v>
      </c>
      <c r="E4407" s="7">
        <f t="shared" si="68"/>
        <v>135.9</v>
      </c>
      <c r="F4407" s="8"/>
    </row>
    <row r="4408" spans="1:6" ht="18" customHeight="1">
      <c r="A4408" s="4" t="s">
        <v>142</v>
      </c>
      <c r="B4408" s="4" t="str">
        <f>"2020032401"</f>
        <v>2020032401</v>
      </c>
      <c r="C4408" s="5">
        <v>63.2</v>
      </c>
      <c r="D4408" s="6">
        <v>72</v>
      </c>
      <c r="E4408" s="7">
        <f t="shared" si="68"/>
        <v>135.19999999999999</v>
      </c>
      <c r="F4408" s="8"/>
    </row>
    <row r="4409" spans="1:6" ht="18" customHeight="1">
      <c r="A4409" s="4" t="s">
        <v>142</v>
      </c>
      <c r="B4409" s="4" t="str">
        <f>"2020047111"</f>
        <v>2020047111</v>
      </c>
      <c r="C4409" s="5">
        <v>61.9</v>
      </c>
      <c r="D4409" s="6">
        <v>72.5</v>
      </c>
      <c r="E4409" s="7">
        <f t="shared" si="68"/>
        <v>134.4</v>
      </c>
      <c r="F4409" s="8"/>
    </row>
    <row r="4410" spans="1:6" ht="18" customHeight="1">
      <c r="A4410" s="4" t="s">
        <v>142</v>
      </c>
      <c r="B4410" s="4" t="str">
        <f>"2020010714"</f>
        <v>2020010714</v>
      </c>
      <c r="C4410" s="5">
        <v>68.099999999999994</v>
      </c>
      <c r="D4410" s="6">
        <v>65.5</v>
      </c>
      <c r="E4410" s="7">
        <f t="shared" si="68"/>
        <v>133.6</v>
      </c>
      <c r="F4410" s="8"/>
    </row>
    <row r="4411" spans="1:6" ht="18" customHeight="1">
      <c r="A4411" s="4" t="s">
        <v>142</v>
      </c>
      <c r="B4411" s="4" t="str">
        <f>"2020030228"</f>
        <v>2020030228</v>
      </c>
      <c r="C4411" s="5">
        <v>65.5</v>
      </c>
      <c r="D4411" s="6">
        <v>66.5</v>
      </c>
      <c r="E4411" s="7">
        <f t="shared" si="68"/>
        <v>132</v>
      </c>
      <c r="F4411" s="8"/>
    </row>
    <row r="4412" spans="1:6" ht="18" customHeight="1">
      <c r="A4412" s="4" t="s">
        <v>142</v>
      </c>
      <c r="B4412" s="4" t="str">
        <f>"2020012903"</f>
        <v>2020012903</v>
      </c>
      <c r="C4412" s="5">
        <v>68.7</v>
      </c>
      <c r="D4412" s="6">
        <v>63</v>
      </c>
      <c r="E4412" s="7">
        <f t="shared" si="68"/>
        <v>131.69999999999999</v>
      </c>
      <c r="F4412" s="8"/>
    </row>
    <row r="4413" spans="1:6" ht="18" customHeight="1">
      <c r="A4413" s="4" t="s">
        <v>142</v>
      </c>
      <c r="B4413" s="4" t="str">
        <f>"2020022009"</f>
        <v>2020022009</v>
      </c>
      <c r="C4413" s="5">
        <v>69.3</v>
      </c>
      <c r="D4413" s="6">
        <v>61.5</v>
      </c>
      <c r="E4413" s="7">
        <f t="shared" si="68"/>
        <v>130.80000000000001</v>
      </c>
      <c r="F4413" s="8"/>
    </row>
    <row r="4414" spans="1:6" ht="18" customHeight="1">
      <c r="A4414" s="4" t="s">
        <v>142</v>
      </c>
      <c r="B4414" s="4" t="str">
        <f>"2020032421"</f>
        <v>2020032421</v>
      </c>
      <c r="C4414" s="5">
        <v>58.3</v>
      </c>
      <c r="D4414" s="6">
        <v>72</v>
      </c>
      <c r="E4414" s="7">
        <f t="shared" si="68"/>
        <v>130.30000000000001</v>
      </c>
      <c r="F4414" s="8"/>
    </row>
    <row r="4415" spans="1:6" ht="18" customHeight="1">
      <c r="A4415" s="4" t="s">
        <v>142</v>
      </c>
      <c r="B4415" s="4" t="str">
        <f>"2020012222"</f>
        <v>2020012222</v>
      </c>
      <c r="C4415" s="5">
        <v>60.3</v>
      </c>
      <c r="D4415" s="6">
        <v>69</v>
      </c>
      <c r="E4415" s="7">
        <f t="shared" si="68"/>
        <v>129.30000000000001</v>
      </c>
      <c r="F4415" s="8"/>
    </row>
    <row r="4416" spans="1:6" ht="18" customHeight="1">
      <c r="A4416" s="4" t="s">
        <v>142</v>
      </c>
      <c r="B4416" s="4" t="str">
        <f>"2020045727"</f>
        <v>2020045727</v>
      </c>
      <c r="C4416" s="5">
        <v>67.5</v>
      </c>
      <c r="D4416" s="6">
        <v>61.5</v>
      </c>
      <c r="E4416" s="7">
        <f t="shared" si="68"/>
        <v>129</v>
      </c>
      <c r="F4416" s="8"/>
    </row>
    <row r="4417" spans="1:6" ht="18" customHeight="1">
      <c r="A4417" s="4" t="s">
        <v>142</v>
      </c>
      <c r="B4417" s="4" t="str">
        <f>"2020020823"</f>
        <v>2020020823</v>
      </c>
      <c r="C4417" s="5">
        <v>63.5</v>
      </c>
      <c r="D4417" s="6">
        <v>62.5</v>
      </c>
      <c r="E4417" s="7">
        <f t="shared" si="68"/>
        <v>126</v>
      </c>
      <c r="F4417" s="8"/>
    </row>
    <row r="4418" spans="1:6" ht="18" customHeight="1">
      <c r="A4418" s="4" t="s">
        <v>142</v>
      </c>
      <c r="B4418" s="4" t="str">
        <f>"2020046712"</f>
        <v>2020046712</v>
      </c>
      <c r="C4418" s="5">
        <v>60.5</v>
      </c>
      <c r="D4418" s="6">
        <v>65</v>
      </c>
      <c r="E4418" s="7">
        <f t="shared" si="68"/>
        <v>125.5</v>
      </c>
      <c r="F4418" s="8"/>
    </row>
    <row r="4419" spans="1:6" ht="18" customHeight="1">
      <c r="A4419" s="4" t="s">
        <v>142</v>
      </c>
      <c r="B4419" s="4" t="str">
        <f>"2020033514"</f>
        <v>2020033514</v>
      </c>
      <c r="C4419" s="5">
        <v>56.8</v>
      </c>
      <c r="D4419" s="6">
        <v>68</v>
      </c>
      <c r="E4419" s="7">
        <f t="shared" ref="E4419:E4482" si="69">SUM(C4419:D4419)</f>
        <v>124.8</v>
      </c>
      <c r="F4419" s="8"/>
    </row>
    <row r="4420" spans="1:6" ht="18" customHeight="1">
      <c r="A4420" s="4" t="s">
        <v>142</v>
      </c>
      <c r="B4420" s="4" t="str">
        <f>"2020042513"</f>
        <v>2020042513</v>
      </c>
      <c r="C4420" s="5">
        <v>65.599999999999994</v>
      </c>
      <c r="D4420" s="6">
        <v>59</v>
      </c>
      <c r="E4420" s="7">
        <f t="shared" si="69"/>
        <v>124.6</v>
      </c>
      <c r="F4420" s="8"/>
    </row>
    <row r="4421" spans="1:6" ht="18" customHeight="1">
      <c r="A4421" s="4" t="s">
        <v>142</v>
      </c>
      <c r="B4421" s="4" t="str">
        <f>"2020032515"</f>
        <v>2020032515</v>
      </c>
      <c r="C4421" s="5">
        <v>68</v>
      </c>
      <c r="D4421" s="6">
        <v>55.5</v>
      </c>
      <c r="E4421" s="7">
        <f t="shared" si="69"/>
        <v>123.5</v>
      </c>
      <c r="F4421" s="8"/>
    </row>
    <row r="4422" spans="1:6" ht="18" customHeight="1">
      <c r="A4422" s="4" t="s">
        <v>142</v>
      </c>
      <c r="B4422" s="4" t="str">
        <f>"2020013320"</f>
        <v>2020013320</v>
      </c>
      <c r="C4422" s="5">
        <v>54.5</v>
      </c>
      <c r="D4422" s="6">
        <v>69</v>
      </c>
      <c r="E4422" s="7">
        <f t="shared" si="69"/>
        <v>123.5</v>
      </c>
      <c r="F4422" s="8"/>
    </row>
    <row r="4423" spans="1:6" ht="18" customHeight="1">
      <c r="A4423" s="4" t="s">
        <v>142</v>
      </c>
      <c r="B4423" s="4" t="str">
        <f>"2020041313"</f>
        <v>2020041313</v>
      </c>
      <c r="C4423" s="5">
        <v>66.599999999999994</v>
      </c>
      <c r="D4423" s="6">
        <v>55</v>
      </c>
      <c r="E4423" s="7">
        <f t="shared" si="69"/>
        <v>121.6</v>
      </c>
      <c r="F4423" s="8"/>
    </row>
    <row r="4424" spans="1:6" ht="18" customHeight="1">
      <c r="A4424" s="4" t="s">
        <v>142</v>
      </c>
      <c r="B4424" s="4" t="str">
        <f>"2020021104"</f>
        <v>2020021104</v>
      </c>
      <c r="C4424" s="5">
        <v>60.8</v>
      </c>
      <c r="D4424" s="6">
        <v>58.5</v>
      </c>
      <c r="E4424" s="7">
        <f t="shared" si="69"/>
        <v>119.3</v>
      </c>
      <c r="F4424" s="8"/>
    </row>
    <row r="4425" spans="1:6" ht="18" customHeight="1">
      <c r="A4425" s="4" t="s">
        <v>142</v>
      </c>
      <c r="B4425" s="4" t="str">
        <f>"2020024614"</f>
        <v>2020024614</v>
      </c>
      <c r="C4425" s="5">
        <v>64.599999999999994</v>
      </c>
      <c r="D4425" s="6">
        <v>54</v>
      </c>
      <c r="E4425" s="7">
        <f t="shared" si="69"/>
        <v>118.6</v>
      </c>
      <c r="F4425" s="8"/>
    </row>
    <row r="4426" spans="1:6" ht="18" customHeight="1">
      <c r="A4426" s="4" t="s">
        <v>142</v>
      </c>
      <c r="B4426" s="4" t="str">
        <f>"2020042126"</f>
        <v>2020042126</v>
      </c>
      <c r="C4426" s="5">
        <v>66.099999999999994</v>
      </c>
      <c r="D4426" s="6">
        <v>52</v>
      </c>
      <c r="E4426" s="7">
        <f t="shared" si="69"/>
        <v>118.1</v>
      </c>
      <c r="F4426" s="8"/>
    </row>
    <row r="4427" spans="1:6" ht="18" customHeight="1">
      <c r="A4427" s="4" t="s">
        <v>142</v>
      </c>
      <c r="B4427" s="4" t="str">
        <f>"2020042625"</f>
        <v>2020042625</v>
      </c>
      <c r="C4427" s="5">
        <v>63.9</v>
      </c>
      <c r="D4427" s="6">
        <v>51.5</v>
      </c>
      <c r="E4427" s="7">
        <f t="shared" si="69"/>
        <v>115.4</v>
      </c>
      <c r="F4427" s="8"/>
    </row>
    <row r="4428" spans="1:6" ht="18" customHeight="1">
      <c r="A4428" s="4" t="s">
        <v>142</v>
      </c>
      <c r="B4428" s="4" t="str">
        <f>"2020042315"</f>
        <v>2020042315</v>
      </c>
      <c r="C4428" s="5">
        <v>56.9</v>
      </c>
      <c r="D4428" s="6">
        <v>56</v>
      </c>
      <c r="E4428" s="7">
        <f t="shared" si="69"/>
        <v>112.9</v>
      </c>
      <c r="F4428" s="8"/>
    </row>
    <row r="4429" spans="1:6" ht="18" customHeight="1">
      <c r="A4429" s="4" t="s">
        <v>142</v>
      </c>
      <c r="B4429" s="4" t="str">
        <f>"2020043823"</f>
        <v>2020043823</v>
      </c>
      <c r="C4429" s="5">
        <v>58.6</v>
      </c>
      <c r="D4429" s="6">
        <v>54</v>
      </c>
      <c r="E4429" s="7">
        <f t="shared" si="69"/>
        <v>112.6</v>
      </c>
      <c r="F4429" s="8"/>
    </row>
    <row r="4430" spans="1:6" ht="18" customHeight="1">
      <c r="A4430" s="4" t="s">
        <v>142</v>
      </c>
      <c r="B4430" s="4" t="str">
        <f>"2020031808"</f>
        <v>2020031808</v>
      </c>
      <c r="C4430" s="5">
        <v>58.3</v>
      </c>
      <c r="D4430" s="6">
        <v>53.5</v>
      </c>
      <c r="E4430" s="7">
        <f t="shared" si="69"/>
        <v>111.8</v>
      </c>
      <c r="F4430" s="8"/>
    </row>
    <row r="4431" spans="1:6" ht="18" customHeight="1">
      <c r="A4431" s="4" t="s">
        <v>142</v>
      </c>
      <c r="B4431" s="4" t="str">
        <f>"2020043507"</f>
        <v>2020043507</v>
      </c>
      <c r="C4431" s="5">
        <v>60.1</v>
      </c>
      <c r="D4431" s="6">
        <v>51</v>
      </c>
      <c r="E4431" s="7">
        <f t="shared" si="69"/>
        <v>111.1</v>
      </c>
      <c r="F4431" s="8"/>
    </row>
    <row r="4432" spans="1:6" ht="18" customHeight="1">
      <c r="A4432" s="4" t="s">
        <v>142</v>
      </c>
      <c r="B4432" s="4" t="str">
        <f>"2020022208"</f>
        <v>2020022208</v>
      </c>
      <c r="C4432" s="5">
        <v>58.5</v>
      </c>
      <c r="D4432" s="6">
        <v>52.5</v>
      </c>
      <c r="E4432" s="7">
        <f t="shared" si="69"/>
        <v>111</v>
      </c>
      <c r="F4432" s="8"/>
    </row>
    <row r="4433" spans="1:6" ht="18" customHeight="1">
      <c r="A4433" s="4" t="s">
        <v>142</v>
      </c>
      <c r="B4433" s="4" t="str">
        <f>"2020042827"</f>
        <v>2020042827</v>
      </c>
      <c r="C4433" s="5">
        <v>57</v>
      </c>
      <c r="D4433" s="6">
        <v>52</v>
      </c>
      <c r="E4433" s="7">
        <f t="shared" si="69"/>
        <v>109</v>
      </c>
      <c r="F4433" s="8"/>
    </row>
    <row r="4434" spans="1:6" ht="18" customHeight="1">
      <c r="A4434" s="4" t="s">
        <v>142</v>
      </c>
      <c r="B4434" s="4" t="str">
        <f>"2020033013"</f>
        <v>2020033013</v>
      </c>
      <c r="C4434" s="5">
        <v>55.3</v>
      </c>
      <c r="D4434" s="6">
        <v>50.5</v>
      </c>
      <c r="E4434" s="7">
        <f t="shared" si="69"/>
        <v>105.8</v>
      </c>
      <c r="F4434" s="8"/>
    </row>
    <row r="4435" spans="1:6" ht="18" customHeight="1">
      <c r="A4435" s="4" t="s">
        <v>142</v>
      </c>
      <c r="B4435" s="4" t="str">
        <f>"2020032029"</f>
        <v>2020032029</v>
      </c>
      <c r="C4435" s="5">
        <v>54.8</v>
      </c>
      <c r="D4435" s="6">
        <v>49</v>
      </c>
      <c r="E4435" s="7">
        <f t="shared" si="69"/>
        <v>103.8</v>
      </c>
      <c r="F4435" s="8"/>
    </row>
    <row r="4436" spans="1:6" ht="18" customHeight="1">
      <c r="A4436" s="4" t="s">
        <v>142</v>
      </c>
      <c r="B4436" s="4" t="str">
        <f>"2020021906"</f>
        <v>2020021906</v>
      </c>
      <c r="C4436" s="5">
        <v>60.9</v>
      </c>
      <c r="D4436" s="6">
        <v>42.5</v>
      </c>
      <c r="E4436" s="7">
        <f t="shared" si="69"/>
        <v>103.4</v>
      </c>
      <c r="F4436" s="8"/>
    </row>
    <row r="4437" spans="1:6" ht="18" customHeight="1">
      <c r="A4437" s="4" t="s">
        <v>142</v>
      </c>
      <c r="B4437" s="4" t="str">
        <f>"2020040217"</f>
        <v>2020040217</v>
      </c>
      <c r="C4437" s="5">
        <v>54</v>
      </c>
      <c r="D4437" s="6">
        <v>46</v>
      </c>
      <c r="E4437" s="7">
        <f t="shared" si="69"/>
        <v>100</v>
      </c>
      <c r="F4437" s="8"/>
    </row>
    <row r="4438" spans="1:6" ht="18" customHeight="1">
      <c r="A4438" s="4" t="s">
        <v>142</v>
      </c>
      <c r="B4438" s="4" t="str">
        <f>"2020010216"</f>
        <v>2020010216</v>
      </c>
      <c r="C4438" s="5">
        <v>0</v>
      </c>
      <c r="D4438" s="6">
        <v>0</v>
      </c>
      <c r="E4438" s="7">
        <f t="shared" si="69"/>
        <v>0</v>
      </c>
      <c r="F4438" s="9" t="s">
        <v>8</v>
      </c>
    </row>
    <row r="4439" spans="1:6" ht="18" customHeight="1">
      <c r="A4439" s="4" t="s">
        <v>142</v>
      </c>
      <c r="B4439" s="4" t="str">
        <f>"2020011006"</f>
        <v>2020011006</v>
      </c>
      <c r="C4439" s="5">
        <v>0</v>
      </c>
      <c r="D4439" s="6">
        <v>0</v>
      </c>
      <c r="E4439" s="7">
        <f t="shared" si="69"/>
        <v>0</v>
      </c>
      <c r="F4439" s="9" t="s">
        <v>8</v>
      </c>
    </row>
    <row r="4440" spans="1:6" ht="18" customHeight="1">
      <c r="A4440" s="4" t="s">
        <v>142</v>
      </c>
      <c r="B4440" s="4" t="str">
        <f>"2020011628"</f>
        <v>2020011628</v>
      </c>
      <c r="C4440" s="5">
        <v>0</v>
      </c>
      <c r="D4440" s="6">
        <v>0</v>
      </c>
      <c r="E4440" s="7">
        <f t="shared" si="69"/>
        <v>0</v>
      </c>
      <c r="F4440" s="9" t="s">
        <v>8</v>
      </c>
    </row>
    <row r="4441" spans="1:6" ht="18" customHeight="1">
      <c r="A4441" s="4" t="s">
        <v>142</v>
      </c>
      <c r="B4441" s="4" t="str">
        <f>"2020012826"</f>
        <v>2020012826</v>
      </c>
      <c r="C4441" s="5">
        <v>0</v>
      </c>
      <c r="D4441" s="6">
        <v>0</v>
      </c>
      <c r="E4441" s="7">
        <f t="shared" si="69"/>
        <v>0</v>
      </c>
      <c r="F4441" s="9" t="s">
        <v>8</v>
      </c>
    </row>
    <row r="4442" spans="1:6" ht="18" customHeight="1">
      <c r="A4442" s="4" t="s">
        <v>142</v>
      </c>
      <c r="B4442" s="4" t="str">
        <f>"2020022615"</f>
        <v>2020022615</v>
      </c>
      <c r="C4442" s="5">
        <v>0</v>
      </c>
      <c r="D4442" s="6">
        <v>0</v>
      </c>
      <c r="E4442" s="7">
        <f t="shared" si="69"/>
        <v>0</v>
      </c>
      <c r="F4442" s="8" t="s">
        <v>8</v>
      </c>
    </row>
    <row r="4443" spans="1:6" ht="18" customHeight="1">
      <c r="A4443" s="4" t="s">
        <v>142</v>
      </c>
      <c r="B4443" s="4" t="str">
        <f>"2020023008"</f>
        <v>2020023008</v>
      </c>
      <c r="C4443" s="5">
        <v>0</v>
      </c>
      <c r="D4443" s="6">
        <v>0</v>
      </c>
      <c r="E4443" s="7">
        <f t="shared" si="69"/>
        <v>0</v>
      </c>
      <c r="F4443" s="8" t="s">
        <v>8</v>
      </c>
    </row>
    <row r="4444" spans="1:6" ht="18" customHeight="1">
      <c r="A4444" s="4" t="s">
        <v>142</v>
      </c>
      <c r="B4444" s="4" t="str">
        <f>"2020023913"</f>
        <v>2020023913</v>
      </c>
      <c r="C4444" s="5">
        <v>0</v>
      </c>
      <c r="D4444" s="6">
        <v>0</v>
      </c>
      <c r="E4444" s="7">
        <f t="shared" si="69"/>
        <v>0</v>
      </c>
      <c r="F4444" s="8" t="s">
        <v>8</v>
      </c>
    </row>
    <row r="4445" spans="1:6" ht="18" customHeight="1">
      <c r="A4445" s="4" t="s">
        <v>142</v>
      </c>
      <c r="B4445" s="4" t="str">
        <f>"2020032616"</f>
        <v>2020032616</v>
      </c>
      <c r="C4445" s="5">
        <v>0</v>
      </c>
      <c r="D4445" s="6">
        <v>0</v>
      </c>
      <c r="E4445" s="7">
        <f t="shared" si="69"/>
        <v>0</v>
      </c>
      <c r="F4445" s="8" t="s">
        <v>8</v>
      </c>
    </row>
    <row r="4446" spans="1:6" ht="18" customHeight="1">
      <c r="A4446" s="4" t="s">
        <v>142</v>
      </c>
      <c r="B4446" s="4" t="str">
        <f>"2020032802"</f>
        <v>2020032802</v>
      </c>
      <c r="C4446" s="5">
        <v>0</v>
      </c>
      <c r="D4446" s="6">
        <v>0</v>
      </c>
      <c r="E4446" s="7">
        <f t="shared" si="69"/>
        <v>0</v>
      </c>
      <c r="F4446" s="8" t="s">
        <v>8</v>
      </c>
    </row>
    <row r="4447" spans="1:6" ht="18" customHeight="1">
      <c r="A4447" s="4" t="s">
        <v>142</v>
      </c>
      <c r="B4447" s="4" t="str">
        <f>"2020041418"</f>
        <v>2020041418</v>
      </c>
      <c r="C4447" s="5">
        <v>0</v>
      </c>
      <c r="D4447" s="6">
        <v>0</v>
      </c>
      <c r="E4447" s="7">
        <f t="shared" si="69"/>
        <v>0</v>
      </c>
      <c r="F4447" s="8" t="s">
        <v>8</v>
      </c>
    </row>
    <row r="4448" spans="1:6" ht="18" customHeight="1">
      <c r="A4448" s="4" t="s">
        <v>142</v>
      </c>
      <c r="B4448" s="4" t="str">
        <f>"2020042605"</f>
        <v>2020042605</v>
      </c>
      <c r="C4448" s="5">
        <v>0</v>
      </c>
      <c r="D4448" s="6">
        <v>0</v>
      </c>
      <c r="E4448" s="7">
        <f t="shared" si="69"/>
        <v>0</v>
      </c>
      <c r="F4448" s="8" t="s">
        <v>8</v>
      </c>
    </row>
    <row r="4449" spans="1:6" ht="18" customHeight="1">
      <c r="A4449" s="4" t="s">
        <v>143</v>
      </c>
      <c r="B4449" s="4" t="str">
        <f>"2020034022"</f>
        <v>2020034022</v>
      </c>
      <c r="C4449" s="5">
        <v>74.5</v>
      </c>
      <c r="D4449" s="6">
        <v>77</v>
      </c>
      <c r="E4449" s="7">
        <f t="shared" si="69"/>
        <v>151.5</v>
      </c>
      <c r="F4449" s="8"/>
    </row>
    <row r="4450" spans="1:6" ht="18" customHeight="1">
      <c r="A4450" s="4" t="s">
        <v>143</v>
      </c>
      <c r="B4450" s="4" t="str">
        <f>"2020032808"</f>
        <v>2020032808</v>
      </c>
      <c r="C4450" s="5">
        <v>79</v>
      </c>
      <c r="D4450" s="6">
        <v>70</v>
      </c>
      <c r="E4450" s="7">
        <f t="shared" si="69"/>
        <v>149</v>
      </c>
      <c r="F4450" s="8"/>
    </row>
    <row r="4451" spans="1:6" ht="18" customHeight="1">
      <c r="A4451" s="4" t="s">
        <v>143</v>
      </c>
      <c r="B4451" s="4" t="str">
        <f>"2020023419"</f>
        <v>2020023419</v>
      </c>
      <c r="C4451" s="5">
        <v>70.3</v>
      </c>
      <c r="D4451" s="6">
        <v>78.5</v>
      </c>
      <c r="E4451" s="7">
        <f t="shared" si="69"/>
        <v>148.80000000000001</v>
      </c>
      <c r="F4451" s="8"/>
    </row>
    <row r="4452" spans="1:6" ht="18" customHeight="1">
      <c r="A4452" s="4" t="s">
        <v>143</v>
      </c>
      <c r="B4452" s="4" t="str">
        <f>"2020012804"</f>
        <v>2020012804</v>
      </c>
      <c r="C4452" s="5">
        <v>73.099999999999994</v>
      </c>
      <c r="D4452" s="6">
        <v>75</v>
      </c>
      <c r="E4452" s="7">
        <f t="shared" si="69"/>
        <v>148.1</v>
      </c>
      <c r="F4452" s="8"/>
    </row>
    <row r="4453" spans="1:6" ht="18" customHeight="1">
      <c r="A4453" s="4" t="s">
        <v>143</v>
      </c>
      <c r="B4453" s="4" t="str">
        <f>"2020047205"</f>
        <v>2020047205</v>
      </c>
      <c r="C4453" s="5">
        <v>71.3</v>
      </c>
      <c r="D4453" s="6">
        <v>76.5</v>
      </c>
      <c r="E4453" s="7">
        <f t="shared" si="69"/>
        <v>147.80000000000001</v>
      </c>
      <c r="F4453" s="8"/>
    </row>
    <row r="4454" spans="1:6" ht="18" customHeight="1">
      <c r="A4454" s="4" t="s">
        <v>143</v>
      </c>
      <c r="B4454" s="4" t="str">
        <f>"2020031405"</f>
        <v>2020031405</v>
      </c>
      <c r="C4454" s="5">
        <v>63.8</v>
      </c>
      <c r="D4454" s="6">
        <v>83</v>
      </c>
      <c r="E4454" s="7">
        <f t="shared" si="69"/>
        <v>146.80000000000001</v>
      </c>
      <c r="F4454" s="8"/>
    </row>
    <row r="4455" spans="1:6" ht="18" customHeight="1">
      <c r="A4455" s="4" t="s">
        <v>143</v>
      </c>
      <c r="B4455" s="4" t="str">
        <f>"2020012403"</f>
        <v>2020012403</v>
      </c>
      <c r="C4455" s="5">
        <v>75.400000000000006</v>
      </c>
      <c r="D4455" s="6">
        <v>71</v>
      </c>
      <c r="E4455" s="7">
        <f t="shared" si="69"/>
        <v>146.4</v>
      </c>
      <c r="F4455" s="8"/>
    </row>
    <row r="4456" spans="1:6" ht="18" customHeight="1">
      <c r="A4456" s="4" t="s">
        <v>143</v>
      </c>
      <c r="B4456" s="4" t="str">
        <f>"2020040311"</f>
        <v>2020040311</v>
      </c>
      <c r="C4456" s="5">
        <v>65.599999999999994</v>
      </c>
      <c r="D4456" s="6">
        <v>79</v>
      </c>
      <c r="E4456" s="7">
        <f t="shared" si="69"/>
        <v>144.6</v>
      </c>
      <c r="F4456" s="8"/>
    </row>
    <row r="4457" spans="1:6" ht="18" customHeight="1">
      <c r="A4457" s="4" t="s">
        <v>143</v>
      </c>
      <c r="B4457" s="4" t="str">
        <f>"2020022128"</f>
        <v>2020022128</v>
      </c>
      <c r="C4457" s="5">
        <v>65.099999999999994</v>
      </c>
      <c r="D4457" s="6">
        <v>79</v>
      </c>
      <c r="E4457" s="7">
        <f t="shared" si="69"/>
        <v>144.1</v>
      </c>
      <c r="F4457" s="8"/>
    </row>
    <row r="4458" spans="1:6" ht="18" customHeight="1">
      <c r="A4458" s="4" t="s">
        <v>143</v>
      </c>
      <c r="B4458" s="4" t="str">
        <f>"2020033113"</f>
        <v>2020033113</v>
      </c>
      <c r="C4458" s="5">
        <v>64.5</v>
      </c>
      <c r="D4458" s="6">
        <v>78.5</v>
      </c>
      <c r="E4458" s="7">
        <f t="shared" si="69"/>
        <v>143</v>
      </c>
      <c r="F4458" s="8"/>
    </row>
    <row r="4459" spans="1:6" ht="18" customHeight="1">
      <c r="A4459" s="4" t="s">
        <v>143</v>
      </c>
      <c r="B4459" s="4" t="str">
        <f>"2020044808"</f>
        <v>2020044808</v>
      </c>
      <c r="C4459" s="5">
        <v>66.400000000000006</v>
      </c>
      <c r="D4459" s="6">
        <v>76</v>
      </c>
      <c r="E4459" s="7">
        <f t="shared" si="69"/>
        <v>142.4</v>
      </c>
      <c r="F4459" s="8"/>
    </row>
    <row r="4460" spans="1:6" ht="18" customHeight="1">
      <c r="A4460" s="4" t="s">
        <v>143</v>
      </c>
      <c r="B4460" s="4" t="str">
        <f>"2020030214"</f>
        <v>2020030214</v>
      </c>
      <c r="C4460" s="5">
        <v>68.8</v>
      </c>
      <c r="D4460" s="6">
        <v>73</v>
      </c>
      <c r="E4460" s="7">
        <f t="shared" si="69"/>
        <v>141.80000000000001</v>
      </c>
      <c r="F4460" s="8"/>
    </row>
    <row r="4461" spans="1:6" ht="18" customHeight="1">
      <c r="A4461" s="4" t="s">
        <v>143</v>
      </c>
      <c r="B4461" s="4" t="str">
        <f>"2020013710"</f>
        <v>2020013710</v>
      </c>
      <c r="C4461" s="5">
        <v>66.2</v>
      </c>
      <c r="D4461" s="6">
        <v>75</v>
      </c>
      <c r="E4461" s="7">
        <f t="shared" si="69"/>
        <v>141.19999999999999</v>
      </c>
      <c r="F4461" s="8"/>
    </row>
    <row r="4462" spans="1:6" ht="18" customHeight="1">
      <c r="A4462" s="4" t="s">
        <v>143</v>
      </c>
      <c r="B4462" s="4" t="str">
        <f>"2020043214"</f>
        <v>2020043214</v>
      </c>
      <c r="C4462" s="5">
        <v>68.5</v>
      </c>
      <c r="D4462" s="6">
        <v>70</v>
      </c>
      <c r="E4462" s="7">
        <f t="shared" si="69"/>
        <v>138.5</v>
      </c>
      <c r="F4462" s="8"/>
    </row>
    <row r="4463" spans="1:6" ht="18" customHeight="1">
      <c r="A4463" s="4" t="s">
        <v>143</v>
      </c>
      <c r="B4463" s="4" t="str">
        <f>"2020010227"</f>
        <v>2020010227</v>
      </c>
      <c r="C4463" s="5">
        <v>70.900000000000006</v>
      </c>
      <c r="D4463" s="6">
        <v>67.5</v>
      </c>
      <c r="E4463" s="7">
        <f t="shared" si="69"/>
        <v>138.4</v>
      </c>
      <c r="F4463" s="8"/>
    </row>
    <row r="4464" spans="1:6" ht="18" customHeight="1">
      <c r="A4464" s="4" t="s">
        <v>143</v>
      </c>
      <c r="B4464" s="4" t="str">
        <f>"2020011415"</f>
        <v>2020011415</v>
      </c>
      <c r="C4464" s="5">
        <v>70.099999999999994</v>
      </c>
      <c r="D4464" s="6">
        <v>67.5</v>
      </c>
      <c r="E4464" s="7">
        <f t="shared" si="69"/>
        <v>137.6</v>
      </c>
      <c r="F4464" s="8"/>
    </row>
    <row r="4465" spans="1:6" ht="18" customHeight="1">
      <c r="A4465" s="4" t="s">
        <v>143</v>
      </c>
      <c r="B4465" s="4" t="str">
        <f>"2020043529"</f>
        <v>2020043529</v>
      </c>
      <c r="C4465" s="5">
        <v>69.5</v>
      </c>
      <c r="D4465" s="6">
        <v>67</v>
      </c>
      <c r="E4465" s="7">
        <f t="shared" si="69"/>
        <v>136.5</v>
      </c>
      <c r="F4465" s="8"/>
    </row>
    <row r="4466" spans="1:6" ht="18" customHeight="1">
      <c r="A4466" s="4" t="s">
        <v>143</v>
      </c>
      <c r="B4466" s="4" t="str">
        <f>"2020010512"</f>
        <v>2020010512</v>
      </c>
      <c r="C4466" s="5">
        <v>69.900000000000006</v>
      </c>
      <c r="D4466" s="6">
        <v>65</v>
      </c>
      <c r="E4466" s="7">
        <f t="shared" si="69"/>
        <v>134.9</v>
      </c>
      <c r="F4466" s="8"/>
    </row>
    <row r="4467" spans="1:6" ht="18" customHeight="1">
      <c r="A4467" s="4" t="s">
        <v>143</v>
      </c>
      <c r="B4467" s="4" t="str">
        <f>"2020013118"</f>
        <v>2020013118</v>
      </c>
      <c r="C4467" s="5">
        <v>65.2</v>
      </c>
      <c r="D4467" s="6">
        <v>69.5</v>
      </c>
      <c r="E4467" s="7">
        <f t="shared" si="69"/>
        <v>134.69999999999999</v>
      </c>
      <c r="F4467" s="8"/>
    </row>
    <row r="4468" spans="1:6" ht="18" customHeight="1">
      <c r="A4468" s="4" t="s">
        <v>143</v>
      </c>
      <c r="B4468" s="4" t="str">
        <f>"2020033017"</f>
        <v>2020033017</v>
      </c>
      <c r="C4468" s="5">
        <v>57.7</v>
      </c>
      <c r="D4468" s="6">
        <v>71</v>
      </c>
      <c r="E4468" s="7">
        <f t="shared" si="69"/>
        <v>128.69999999999999</v>
      </c>
      <c r="F4468" s="8"/>
    </row>
    <row r="4469" spans="1:6" ht="18" customHeight="1">
      <c r="A4469" s="4" t="s">
        <v>143</v>
      </c>
      <c r="B4469" s="4" t="str">
        <f>"2020031622"</f>
        <v>2020031622</v>
      </c>
      <c r="C4469" s="5">
        <v>64.2</v>
      </c>
      <c r="D4469" s="6">
        <v>62</v>
      </c>
      <c r="E4469" s="7">
        <f t="shared" si="69"/>
        <v>126.2</v>
      </c>
      <c r="F4469" s="8"/>
    </row>
    <row r="4470" spans="1:6" ht="18" customHeight="1">
      <c r="A4470" s="4" t="s">
        <v>143</v>
      </c>
      <c r="B4470" s="4" t="str">
        <f>"2020021703"</f>
        <v>2020021703</v>
      </c>
      <c r="C4470" s="5">
        <v>61.3</v>
      </c>
      <c r="D4470" s="6">
        <v>63</v>
      </c>
      <c r="E4470" s="7">
        <f t="shared" si="69"/>
        <v>124.3</v>
      </c>
      <c r="F4470" s="8"/>
    </row>
    <row r="4471" spans="1:6" ht="18" customHeight="1">
      <c r="A4471" s="4" t="s">
        <v>143</v>
      </c>
      <c r="B4471" s="4" t="str">
        <f>"2020033110"</f>
        <v>2020033110</v>
      </c>
      <c r="C4471" s="5">
        <v>66</v>
      </c>
      <c r="D4471" s="6">
        <v>58</v>
      </c>
      <c r="E4471" s="7">
        <f t="shared" si="69"/>
        <v>124</v>
      </c>
      <c r="F4471" s="8"/>
    </row>
    <row r="4472" spans="1:6" ht="18" customHeight="1">
      <c r="A4472" s="4" t="s">
        <v>143</v>
      </c>
      <c r="B4472" s="4" t="str">
        <f>"2020031018"</f>
        <v>2020031018</v>
      </c>
      <c r="C4472" s="5">
        <v>57.4</v>
      </c>
      <c r="D4472" s="6">
        <v>66.5</v>
      </c>
      <c r="E4472" s="7">
        <f t="shared" si="69"/>
        <v>123.9</v>
      </c>
      <c r="F4472" s="8"/>
    </row>
    <row r="4473" spans="1:6" ht="18" customHeight="1">
      <c r="A4473" s="4" t="s">
        <v>143</v>
      </c>
      <c r="B4473" s="4" t="str">
        <f>"2020044421"</f>
        <v>2020044421</v>
      </c>
      <c r="C4473" s="5">
        <v>64.8</v>
      </c>
      <c r="D4473" s="6">
        <v>59</v>
      </c>
      <c r="E4473" s="7">
        <f t="shared" si="69"/>
        <v>123.8</v>
      </c>
      <c r="F4473" s="8"/>
    </row>
    <row r="4474" spans="1:6" ht="18" customHeight="1">
      <c r="A4474" s="4" t="s">
        <v>143</v>
      </c>
      <c r="B4474" s="4" t="str">
        <f>"2020010708"</f>
        <v>2020010708</v>
      </c>
      <c r="C4474" s="5">
        <v>61.7</v>
      </c>
      <c r="D4474" s="6">
        <v>58</v>
      </c>
      <c r="E4474" s="7">
        <f t="shared" si="69"/>
        <v>119.7</v>
      </c>
      <c r="F4474" s="8"/>
    </row>
    <row r="4475" spans="1:6" ht="18" customHeight="1">
      <c r="A4475" s="4" t="s">
        <v>143</v>
      </c>
      <c r="B4475" s="4" t="str">
        <f>"2020044414"</f>
        <v>2020044414</v>
      </c>
      <c r="C4475" s="5">
        <v>58.8</v>
      </c>
      <c r="D4475" s="6">
        <v>60.5</v>
      </c>
      <c r="E4475" s="7">
        <f t="shared" si="69"/>
        <v>119.3</v>
      </c>
      <c r="F4475" s="8"/>
    </row>
    <row r="4476" spans="1:6" ht="18" customHeight="1">
      <c r="A4476" s="4" t="s">
        <v>143</v>
      </c>
      <c r="B4476" s="4" t="str">
        <f>"2020011821"</f>
        <v>2020011821</v>
      </c>
      <c r="C4476" s="5">
        <v>65.5</v>
      </c>
      <c r="D4476" s="6">
        <v>53</v>
      </c>
      <c r="E4476" s="7">
        <f t="shared" si="69"/>
        <v>118.5</v>
      </c>
      <c r="F4476" s="8"/>
    </row>
    <row r="4477" spans="1:6" ht="18" customHeight="1">
      <c r="A4477" s="4" t="s">
        <v>143</v>
      </c>
      <c r="B4477" s="4" t="str">
        <f>"2020020616"</f>
        <v>2020020616</v>
      </c>
      <c r="C4477" s="5">
        <v>0</v>
      </c>
      <c r="D4477" s="6">
        <v>0</v>
      </c>
      <c r="E4477" s="7">
        <f t="shared" si="69"/>
        <v>0</v>
      </c>
      <c r="F4477" s="8" t="s">
        <v>8</v>
      </c>
    </row>
    <row r="4478" spans="1:6" ht="18" customHeight="1">
      <c r="A4478" s="4" t="s">
        <v>143</v>
      </c>
      <c r="B4478" s="4" t="str">
        <f>"2020020622"</f>
        <v>2020020622</v>
      </c>
      <c r="C4478" s="5">
        <v>0</v>
      </c>
      <c r="D4478" s="6">
        <v>0</v>
      </c>
      <c r="E4478" s="7">
        <f t="shared" si="69"/>
        <v>0</v>
      </c>
      <c r="F4478" s="8" t="s">
        <v>8</v>
      </c>
    </row>
    <row r="4479" spans="1:6" ht="18" customHeight="1">
      <c r="A4479" s="4" t="s">
        <v>143</v>
      </c>
      <c r="B4479" s="4" t="str">
        <f>"2020022405"</f>
        <v>2020022405</v>
      </c>
      <c r="C4479" s="5">
        <v>0</v>
      </c>
      <c r="D4479" s="6">
        <v>0</v>
      </c>
      <c r="E4479" s="7">
        <f t="shared" si="69"/>
        <v>0</v>
      </c>
      <c r="F4479" s="8" t="s">
        <v>8</v>
      </c>
    </row>
    <row r="4480" spans="1:6" ht="18" customHeight="1">
      <c r="A4480" s="4" t="s">
        <v>143</v>
      </c>
      <c r="B4480" s="4" t="str">
        <f>"2020031816"</f>
        <v>2020031816</v>
      </c>
      <c r="C4480" s="5">
        <v>0</v>
      </c>
      <c r="D4480" s="6">
        <v>0</v>
      </c>
      <c r="E4480" s="7">
        <f t="shared" si="69"/>
        <v>0</v>
      </c>
      <c r="F4480" s="8" t="s">
        <v>8</v>
      </c>
    </row>
    <row r="4481" spans="1:6" ht="18" customHeight="1">
      <c r="A4481" s="4" t="s">
        <v>143</v>
      </c>
      <c r="B4481" s="4" t="str">
        <f>"2020040301"</f>
        <v>2020040301</v>
      </c>
      <c r="C4481" s="5">
        <v>0</v>
      </c>
      <c r="D4481" s="6">
        <v>0</v>
      </c>
      <c r="E4481" s="7">
        <f t="shared" si="69"/>
        <v>0</v>
      </c>
      <c r="F4481" s="8" t="s">
        <v>8</v>
      </c>
    </row>
    <row r="4482" spans="1:6" ht="18" customHeight="1">
      <c r="A4482" s="4" t="s">
        <v>143</v>
      </c>
      <c r="B4482" s="4" t="str">
        <f>"2020042610"</f>
        <v>2020042610</v>
      </c>
      <c r="C4482" s="5">
        <v>0</v>
      </c>
      <c r="D4482" s="6">
        <v>0</v>
      </c>
      <c r="E4482" s="7">
        <f t="shared" si="69"/>
        <v>0</v>
      </c>
      <c r="F4482" s="8" t="s">
        <v>8</v>
      </c>
    </row>
    <row r="4483" spans="1:6" ht="18" customHeight="1">
      <c r="A4483" s="4" t="s">
        <v>143</v>
      </c>
      <c r="B4483" s="4" t="str">
        <f>"2020043220"</f>
        <v>2020043220</v>
      </c>
      <c r="C4483" s="5">
        <v>0</v>
      </c>
      <c r="D4483" s="6">
        <v>0</v>
      </c>
      <c r="E4483" s="7">
        <f t="shared" ref="E4483:E4546" si="70">SUM(C4483:D4483)</f>
        <v>0</v>
      </c>
      <c r="F4483" s="8" t="s">
        <v>8</v>
      </c>
    </row>
    <row r="4484" spans="1:6" ht="18" customHeight="1">
      <c r="A4484" s="4" t="s">
        <v>143</v>
      </c>
      <c r="B4484" s="4" t="str">
        <f>"2020046801"</f>
        <v>2020046801</v>
      </c>
      <c r="C4484" s="5">
        <v>0</v>
      </c>
      <c r="D4484" s="6">
        <v>0</v>
      </c>
      <c r="E4484" s="7">
        <f t="shared" si="70"/>
        <v>0</v>
      </c>
      <c r="F4484" s="8" t="s">
        <v>8</v>
      </c>
    </row>
    <row r="4485" spans="1:6" ht="18" customHeight="1">
      <c r="A4485" s="4" t="s">
        <v>143</v>
      </c>
      <c r="B4485" s="4" t="str">
        <f>"2020047103"</f>
        <v>2020047103</v>
      </c>
      <c r="C4485" s="5">
        <v>0</v>
      </c>
      <c r="D4485" s="6">
        <v>0</v>
      </c>
      <c r="E4485" s="7">
        <f t="shared" si="70"/>
        <v>0</v>
      </c>
      <c r="F4485" s="8" t="s">
        <v>8</v>
      </c>
    </row>
    <row r="4486" spans="1:6" ht="18" customHeight="1">
      <c r="A4486" s="4" t="s">
        <v>143</v>
      </c>
      <c r="B4486" s="4" t="str">
        <f>"2020047329"</f>
        <v>2020047329</v>
      </c>
      <c r="C4486" s="5">
        <v>0</v>
      </c>
      <c r="D4486" s="6">
        <v>0</v>
      </c>
      <c r="E4486" s="7">
        <f t="shared" si="70"/>
        <v>0</v>
      </c>
      <c r="F4486" s="8" t="s">
        <v>8</v>
      </c>
    </row>
    <row r="4487" spans="1:6" ht="18" customHeight="1">
      <c r="A4487" s="4" t="s">
        <v>144</v>
      </c>
      <c r="B4487" s="4" t="str">
        <f>"2020046519"</f>
        <v>2020046519</v>
      </c>
      <c r="C4487" s="5">
        <v>78.5</v>
      </c>
      <c r="D4487" s="6">
        <v>78.5</v>
      </c>
      <c r="E4487" s="7">
        <f t="shared" si="70"/>
        <v>157</v>
      </c>
      <c r="F4487" s="8"/>
    </row>
    <row r="4488" spans="1:6" ht="18" customHeight="1">
      <c r="A4488" s="4" t="s">
        <v>144</v>
      </c>
      <c r="B4488" s="4" t="str">
        <f>"2020042705"</f>
        <v>2020042705</v>
      </c>
      <c r="C4488" s="5">
        <v>75.099999999999994</v>
      </c>
      <c r="D4488" s="6">
        <v>76.5</v>
      </c>
      <c r="E4488" s="7">
        <f t="shared" si="70"/>
        <v>151.6</v>
      </c>
      <c r="F4488" s="8"/>
    </row>
    <row r="4489" spans="1:6" ht="18" customHeight="1">
      <c r="A4489" s="4" t="s">
        <v>144</v>
      </c>
      <c r="B4489" s="4" t="str">
        <f>"2020020514"</f>
        <v>2020020514</v>
      </c>
      <c r="C4489" s="5">
        <v>68.8</v>
      </c>
      <c r="D4489" s="6">
        <v>75</v>
      </c>
      <c r="E4489" s="7">
        <f t="shared" si="70"/>
        <v>143.80000000000001</v>
      </c>
      <c r="F4489" s="8"/>
    </row>
    <row r="4490" spans="1:6" ht="18" customHeight="1">
      <c r="A4490" s="4" t="s">
        <v>144</v>
      </c>
      <c r="B4490" s="4" t="str">
        <f>"2020012621"</f>
        <v>2020012621</v>
      </c>
      <c r="C4490" s="5">
        <v>71.3</v>
      </c>
      <c r="D4490" s="6">
        <v>72</v>
      </c>
      <c r="E4490" s="7">
        <f t="shared" si="70"/>
        <v>143.30000000000001</v>
      </c>
      <c r="F4490" s="8"/>
    </row>
    <row r="4491" spans="1:6" ht="18" customHeight="1">
      <c r="A4491" s="4" t="s">
        <v>144</v>
      </c>
      <c r="B4491" s="4" t="str">
        <f>"2020044713"</f>
        <v>2020044713</v>
      </c>
      <c r="C4491" s="5">
        <v>66.3</v>
      </c>
      <c r="D4491" s="6">
        <v>74.5</v>
      </c>
      <c r="E4491" s="7">
        <f t="shared" si="70"/>
        <v>140.80000000000001</v>
      </c>
      <c r="F4491" s="8"/>
    </row>
    <row r="4492" spans="1:6" ht="18" customHeight="1">
      <c r="A4492" s="4" t="s">
        <v>144</v>
      </c>
      <c r="B4492" s="4" t="str">
        <f>"2020041020"</f>
        <v>2020041020</v>
      </c>
      <c r="C4492" s="5">
        <v>70.099999999999994</v>
      </c>
      <c r="D4492" s="6">
        <v>70.5</v>
      </c>
      <c r="E4492" s="7">
        <f t="shared" si="70"/>
        <v>140.6</v>
      </c>
      <c r="F4492" s="8"/>
    </row>
    <row r="4493" spans="1:6" ht="18" customHeight="1">
      <c r="A4493" s="4" t="s">
        <v>144</v>
      </c>
      <c r="B4493" s="4" t="str">
        <f>"2020021308"</f>
        <v>2020021308</v>
      </c>
      <c r="C4493" s="5">
        <v>67.3</v>
      </c>
      <c r="D4493" s="6">
        <v>69.5</v>
      </c>
      <c r="E4493" s="7">
        <f t="shared" si="70"/>
        <v>136.80000000000001</v>
      </c>
      <c r="F4493" s="8"/>
    </row>
    <row r="4494" spans="1:6" ht="18" customHeight="1">
      <c r="A4494" s="4" t="s">
        <v>144</v>
      </c>
      <c r="B4494" s="4" t="str">
        <f>"2020043027"</f>
        <v>2020043027</v>
      </c>
      <c r="C4494" s="5">
        <v>63.8</v>
      </c>
      <c r="D4494" s="6">
        <v>69</v>
      </c>
      <c r="E4494" s="7">
        <f t="shared" si="70"/>
        <v>132.80000000000001</v>
      </c>
      <c r="F4494" s="8"/>
    </row>
    <row r="4495" spans="1:6" ht="18" customHeight="1">
      <c r="A4495" s="4" t="s">
        <v>144</v>
      </c>
      <c r="B4495" s="4" t="str">
        <f>"2020022115"</f>
        <v>2020022115</v>
      </c>
      <c r="C4495" s="5">
        <v>63.9</v>
      </c>
      <c r="D4495" s="6">
        <v>68</v>
      </c>
      <c r="E4495" s="7">
        <f t="shared" si="70"/>
        <v>131.9</v>
      </c>
      <c r="F4495" s="8"/>
    </row>
    <row r="4496" spans="1:6" ht="18" customHeight="1">
      <c r="A4496" s="4" t="s">
        <v>144</v>
      </c>
      <c r="B4496" s="4" t="str">
        <f>"2020030129"</f>
        <v>2020030129</v>
      </c>
      <c r="C4496" s="5">
        <v>68.400000000000006</v>
      </c>
      <c r="D4496" s="6">
        <v>63</v>
      </c>
      <c r="E4496" s="7">
        <f t="shared" si="70"/>
        <v>131.4</v>
      </c>
      <c r="F4496" s="8"/>
    </row>
    <row r="4497" spans="1:6" ht="18" customHeight="1">
      <c r="A4497" s="4" t="s">
        <v>144</v>
      </c>
      <c r="B4497" s="4" t="str">
        <f>"2020020314"</f>
        <v>2020020314</v>
      </c>
      <c r="C4497" s="5">
        <v>68.3</v>
      </c>
      <c r="D4497" s="6">
        <v>62.5</v>
      </c>
      <c r="E4497" s="7">
        <f t="shared" si="70"/>
        <v>130.80000000000001</v>
      </c>
      <c r="F4497" s="8"/>
    </row>
    <row r="4498" spans="1:6" ht="18" customHeight="1">
      <c r="A4498" s="4" t="s">
        <v>144</v>
      </c>
      <c r="B4498" s="4" t="str">
        <f>"2020010125"</f>
        <v>2020010125</v>
      </c>
      <c r="C4498" s="5">
        <v>63.1</v>
      </c>
      <c r="D4498" s="6">
        <v>66.5</v>
      </c>
      <c r="E4498" s="7">
        <f t="shared" si="70"/>
        <v>129.6</v>
      </c>
      <c r="F4498" s="8"/>
    </row>
    <row r="4499" spans="1:6" ht="18" customHeight="1">
      <c r="A4499" s="4" t="s">
        <v>144</v>
      </c>
      <c r="B4499" s="4" t="str">
        <f>"2020041824"</f>
        <v>2020041824</v>
      </c>
      <c r="C4499" s="5">
        <v>71.3</v>
      </c>
      <c r="D4499" s="6">
        <v>58</v>
      </c>
      <c r="E4499" s="7">
        <f t="shared" si="70"/>
        <v>129.30000000000001</v>
      </c>
      <c r="F4499" s="8"/>
    </row>
    <row r="4500" spans="1:6" ht="18" customHeight="1">
      <c r="A4500" s="4" t="s">
        <v>144</v>
      </c>
      <c r="B4500" s="4" t="str">
        <f>"2020043626"</f>
        <v>2020043626</v>
      </c>
      <c r="C4500" s="5">
        <v>62</v>
      </c>
      <c r="D4500" s="6">
        <v>63.5</v>
      </c>
      <c r="E4500" s="7">
        <f t="shared" si="70"/>
        <v>125.5</v>
      </c>
      <c r="F4500" s="8"/>
    </row>
    <row r="4501" spans="1:6" ht="18" customHeight="1">
      <c r="A4501" s="4" t="s">
        <v>144</v>
      </c>
      <c r="B4501" s="4" t="str">
        <f>"2020031413"</f>
        <v>2020031413</v>
      </c>
      <c r="C4501" s="5">
        <v>59.9</v>
      </c>
      <c r="D4501" s="6">
        <v>64.5</v>
      </c>
      <c r="E4501" s="7">
        <f t="shared" si="70"/>
        <v>124.4</v>
      </c>
      <c r="F4501" s="8"/>
    </row>
    <row r="4502" spans="1:6" ht="18" customHeight="1">
      <c r="A4502" s="4" t="s">
        <v>144</v>
      </c>
      <c r="B4502" s="4" t="str">
        <f>"2020023329"</f>
        <v>2020023329</v>
      </c>
      <c r="C4502" s="5">
        <v>64.400000000000006</v>
      </c>
      <c r="D4502" s="6">
        <v>58</v>
      </c>
      <c r="E4502" s="7">
        <f t="shared" si="70"/>
        <v>122.4</v>
      </c>
      <c r="F4502" s="8"/>
    </row>
    <row r="4503" spans="1:6" ht="18" customHeight="1">
      <c r="A4503" s="4" t="s">
        <v>144</v>
      </c>
      <c r="B4503" s="4" t="str">
        <f>"2020022404"</f>
        <v>2020022404</v>
      </c>
      <c r="C4503" s="5">
        <v>61.6</v>
      </c>
      <c r="D4503" s="6">
        <v>60</v>
      </c>
      <c r="E4503" s="7">
        <f t="shared" si="70"/>
        <v>121.6</v>
      </c>
      <c r="F4503" s="8"/>
    </row>
    <row r="4504" spans="1:6" ht="18" customHeight="1">
      <c r="A4504" s="4" t="s">
        <v>144</v>
      </c>
      <c r="B4504" s="4" t="str">
        <f>"2020033615"</f>
        <v>2020033615</v>
      </c>
      <c r="C4504" s="5">
        <v>59.1</v>
      </c>
      <c r="D4504" s="6">
        <v>60</v>
      </c>
      <c r="E4504" s="7">
        <f t="shared" si="70"/>
        <v>119.1</v>
      </c>
      <c r="F4504" s="8"/>
    </row>
    <row r="4505" spans="1:6" ht="18" customHeight="1">
      <c r="A4505" s="4" t="s">
        <v>144</v>
      </c>
      <c r="B4505" s="4" t="str">
        <f>"2020020912"</f>
        <v>2020020912</v>
      </c>
      <c r="C4505" s="5">
        <v>53</v>
      </c>
      <c r="D4505" s="6">
        <v>62.5</v>
      </c>
      <c r="E4505" s="7">
        <f t="shared" si="70"/>
        <v>115.5</v>
      </c>
      <c r="F4505" s="8"/>
    </row>
    <row r="4506" spans="1:6" ht="18" customHeight="1">
      <c r="A4506" s="4" t="s">
        <v>144</v>
      </c>
      <c r="B4506" s="4" t="str">
        <f>"2020042714"</f>
        <v>2020042714</v>
      </c>
      <c r="C4506" s="5">
        <v>57.1</v>
      </c>
      <c r="D4506" s="6">
        <v>53</v>
      </c>
      <c r="E4506" s="7">
        <f t="shared" si="70"/>
        <v>110.1</v>
      </c>
      <c r="F4506" s="8"/>
    </row>
    <row r="4507" spans="1:6" ht="18" customHeight="1">
      <c r="A4507" s="4" t="s">
        <v>144</v>
      </c>
      <c r="B4507" s="4" t="str">
        <f>"2020011406"</f>
        <v>2020011406</v>
      </c>
      <c r="C4507" s="5">
        <v>53</v>
      </c>
      <c r="D4507" s="6">
        <v>53</v>
      </c>
      <c r="E4507" s="7">
        <f t="shared" si="70"/>
        <v>106</v>
      </c>
      <c r="F4507" s="8"/>
    </row>
    <row r="4508" spans="1:6" ht="18" customHeight="1">
      <c r="A4508" s="4" t="s">
        <v>144</v>
      </c>
      <c r="B4508" s="4" t="str">
        <f>"2020012918"</f>
        <v>2020012918</v>
      </c>
      <c r="C4508" s="5">
        <v>0</v>
      </c>
      <c r="D4508" s="6">
        <v>0</v>
      </c>
      <c r="E4508" s="7">
        <f t="shared" si="70"/>
        <v>0</v>
      </c>
      <c r="F4508" s="9" t="s">
        <v>8</v>
      </c>
    </row>
    <row r="4509" spans="1:6" ht="18" customHeight="1">
      <c r="A4509" s="4" t="s">
        <v>144</v>
      </c>
      <c r="B4509" s="4" t="str">
        <f>"2020020403"</f>
        <v>2020020403</v>
      </c>
      <c r="C4509" s="5">
        <v>0</v>
      </c>
      <c r="D4509" s="6">
        <v>0</v>
      </c>
      <c r="E4509" s="7">
        <f t="shared" si="70"/>
        <v>0</v>
      </c>
      <c r="F4509" s="8" t="s">
        <v>8</v>
      </c>
    </row>
    <row r="4510" spans="1:6" ht="18" customHeight="1">
      <c r="A4510" s="4" t="s">
        <v>144</v>
      </c>
      <c r="B4510" s="4" t="str">
        <f>"2020030612"</f>
        <v>2020030612</v>
      </c>
      <c r="C4510" s="5">
        <v>0</v>
      </c>
      <c r="D4510" s="6">
        <v>0</v>
      </c>
      <c r="E4510" s="7">
        <f t="shared" si="70"/>
        <v>0</v>
      </c>
      <c r="F4510" s="8" t="s">
        <v>8</v>
      </c>
    </row>
    <row r="4511" spans="1:6" ht="18" customHeight="1">
      <c r="A4511" s="4" t="s">
        <v>144</v>
      </c>
      <c r="B4511" s="4" t="str">
        <f>"2020040304"</f>
        <v>2020040304</v>
      </c>
      <c r="C4511" s="5">
        <v>0</v>
      </c>
      <c r="D4511" s="6">
        <v>0</v>
      </c>
      <c r="E4511" s="7">
        <f t="shared" si="70"/>
        <v>0</v>
      </c>
      <c r="F4511" s="8" t="s">
        <v>8</v>
      </c>
    </row>
    <row r="4512" spans="1:6" ht="18" customHeight="1">
      <c r="A4512" s="4" t="s">
        <v>144</v>
      </c>
      <c r="B4512" s="4" t="str">
        <f>"2020042407"</f>
        <v>2020042407</v>
      </c>
      <c r="C4512" s="5">
        <v>0</v>
      </c>
      <c r="D4512" s="6">
        <v>0</v>
      </c>
      <c r="E4512" s="7">
        <f t="shared" si="70"/>
        <v>0</v>
      </c>
      <c r="F4512" s="8" t="s">
        <v>8</v>
      </c>
    </row>
    <row r="4513" spans="1:6" ht="18" customHeight="1">
      <c r="A4513" s="4" t="s">
        <v>145</v>
      </c>
      <c r="B4513" s="4" t="str">
        <f>"2020040922"</f>
        <v>2020040922</v>
      </c>
      <c r="C4513" s="5">
        <v>69.099999999999994</v>
      </c>
      <c r="D4513" s="6">
        <v>77.5</v>
      </c>
      <c r="E4513" s="7">
        <f t="shared" si="70"/>
        <v>146.6</v>
      </c>
      <c r="F4513" s="8"/>
    </row>
    <row r="4514" spans="1:6" ht="18" customHeight="1">
      <c r="A4514" s="4" t="s">
        <v>145</v>
      </c>
      <c r="B4514" s="4" t="str">
        <f>"2020013312"</f>
        <v>2020013312</v>
      </c>
      <c r="C4514" s="5">
        <v>66.400000000000006</v>
      </c>
      <c r="D4514" s="6">
        <v>66</v>
      </c>
      <c r="E4514" s="7">
        <f t="shared" si="70"/>
        <v>132.4</v>
      </c>
      <c r="F4514" s="8"/>
    </row>
    <row r="4515" spans="1:6" ht="18" customHeight="1">
      <c r="A4515" s="4" t="s">
        <v>145</v>
      </c>
      <c r="B4515" s="4" t="str">
        <f>"2020030721"</f>
        <v>2020030721</v>
      </c>
      <c r="C4515" s="5">
        <v>56.7</v>
      </c>
      <c r="D4515" s="6">
        <v>49.5</v>
      </c>
      <c r="E4515" s="7">
        <f t="shared" si="70"/>
        <v>106.2</v>
      </c>
      <c r="F4515" s="8"/>
    </row>
    <row r="4516" spans="1:6" ht="18" customHeight="1">
      <c r="A4516" s="4" t="s">
        <v>146</v>
      </c>
      <c r="B4516" s="4" t="str">
        <f>"2020032814"</f>
        <v>2020032814</v>
      </c>
      <c r="C4516" s="5">
        <v>73.2</v>
      </c>
      <c r="D4516" s="6">
        <v>84.5</v>
      </c>
      <c r="E4516" s="7">
        <f t="shared" si="70"/>
        <v>157.69999999999999</v>
      </c>
      <c r="F4516" s="8"/>
    </row>
    <row r="4517" spans="1:6" ht="18" customHeight="1">
      <c r="A4517" s="4" t="s">
        <v>146</v>
      </c>
      <c r="B4517" s="4" t="str">
        <f>"2020013026"</f>
        <v>2020013026</v>
      </c>
      <c r="C4517" s="5">
        <v>75.099999999999994</v>
      </c>
      <c r="D4517" s="6">
        <v>81</v>
      </c>
      <c r="E4517" s="7">
        <f t="shared" si="70"/>
        <v>156.1</v>
      </c>
      <c r="F4517" s="8"/>
    </row>
    <row r="4518" spans="1:6" ht="18" customHeight="1">
      <c r="A4518" s="4" t="s">
        <v>146</v>
      </c>
      <c r="B4518" s="4" t="str">
        <f>"2020044908"</f>
        <v>2020044908</v>
      </c>
      <c r="C4518" s="5">
        <v>77.7</v>
      </c>
      <c r="D4518" s="6">
        <v>77.5</v>
      </c>
      <c r="E4518" s="7">
        <f t="shared" si="70"/>
        <v>155.19999999999999</v>
      </c>
      <c r="F4518" s="8"/>
    </row>
    <row r="4519" spans="1:6" ht="18" customHeight="1">
      <c r="A4519" s="4" t="s">
        <v>146</v>
      </c>
      <c r="B4519" s="4" t="str">
        <f>"2020047102"</f>
        <v>2020047102</v>
      </c>
      <c r="C4519" s="5">
        <v>75.7</v>
      </c>
      <c r="D4519" s="6">
        <v>77</v>
      </c>
      <c r="E4519" s="7">
        <f t="shared" si="70"/>
        <v>152.69999999999999</v>
      </c>
      <c r="F4519" s="8"/>
    </row>
    <row r="4520" spans="1:6" ht="18" customHeight="1">
      <c r="A4520" s="4" t="s">
        <v>146</v>
      </c>
      <c r="B4520" s="4" t="str">
        <f>"2020024722"</f>
        <v>2020024722</v>
      </c>
      <c r="C4520" s="5">
        <v>69.5</v>
      </c>
      <c r="D4520" s="6">
        <v>79.5</v>
      </c>
      <c r="E4520" s="7">
        <f t="shared" si="70"/>
        <v>149</v>
      </c>
      <c r="F4520" s="8"/>
    </row>
    <row r="4521" spans="1:6" ht="18" customHeight="1">
      <c r="A4521" s="4" t="s">
        <v>146</v>
      </c>
      <c r="B4521" s="4" t="str">
        <f>"2020047206"</f>
        <v>2020047206</v>
      </c>
      <c r="C4521" s="5">
        <v>71.400000000000006</v>
      </c>
      <c r="D4521" s="6">
        <v>77.5</v>
      </c>
      <c r="E4521" s="7">
        <f t="shared" si="70"/>
        <v>148.9</v>
      </c>
      <c r="F4521" s="8"/>
    </row>
    <row r="4522" spans="1:6" ht="18" customHeight="1">
      <c r="A4522" s="4" t="s">
        <v>146</v>
      </c>
      <c r="B4522" s="4" t="str">
        <f>"2020022230"</f>
        <v>2020022230</v>
      </c>
      <c r="C4522" s="5">
        <v>70.900000000000006</v>
      </c>
      <c r="D4522" s="6">
        <v>77</v>
      </c>
      <c r="E4522" s="7">
        <f t="shared" si="70"/>
        <v>147.9</v>
      </c>
      <c r="F4522" s="8"/>
    </row>
    <row r="4523" spans="1:6" ht="18" customHeight="1">
      <c r="A4523" s="4" t="s">
        <v>146</v>
      </c>
      <c r="B4523" s="4" t="str">
        <f>"2020020503"</f>
        <v>2020020503</v>
      </c>
      <c r="C4523" s="5">
        <v>67.3</v>
      </c>
      <c r="D4523" s="6">
        <v>76.5</v>
      </c>
      <c r="E4523" s="7">
        <f t="shared" si="70"/>
        <v>143.80000000000001</v>
      </c>
      <c r="F4523" s="8"/>
    </row>
    <row r="4524" spans="1:6" ht="18" customHeight="1">
      <c r="A4524" s="4" t="s">
        <v>146</v>
      </c>
      <c r="B4524" s="4" t="str">
        <f>"2020046014"</f>
        <v>2020046014</v>
      </c>
      <c r="C4524" s="5">
        <v>63.7</v>
      </c>
      <c r="D4524" s="6">
        <v>78</v>
      </c>
      <c r="E4524" s="7">
        <f t="shared" si="70"/>
        <v>141.69999999999999</v>
      </c>
      <c r="F4524" s="8"/>
    </row>
    <row r="4525" spans="1:6" ht="18" customHeight="1">
      <c r="A4525" s="4" t="s">
        <v>146</v>
      </c>
      <c r="B4525" s="4" t="str">
        <f>"2020045216"</f>
        <v>2020045216</v>
      </c>
      <c r="C4525" s="5">
        <v>68.400000000000006</v>
      </c>
      <c r="D4525" s="6">
        <v>73</v>
      </c>
      <c r="E4525" s="7">
        <f t="shared" si="70"/>
        <v>141.4</v>
      </c>
      <c r="F4525" s="8"/>
    </row>
    <row r="4526" spans="1:6" ht="18" customHeight="1">
      <c r="A4526" s="4" t="s">
        <v>146</v>
      </c>
      <c r="B4526" s="4" t="str">
        <f>"2020042009"</f>
        <v>2020042009</v>
      </c>
      <c r="C4526" s="5">
        <v>64.400000000000006</v>
      </c>
      <c r="D4526" s="6">
        <v>76.5</v>
      </c>
      <c r="E4526" s="7">
        <f t="shared" si="70"/>
        <v>140.9</v>
      </c>
      <c r="F4526" s="8"/>
    </row>
    <row r="4527" spans="1:6" ht="18" customHeight="1">
      <c r="A4527" s="4" t="s">
        <v>146</v>
      </c>
      <c r="B4527" s="4" t="str">
        <f>"2020042602"</f>
        <v>2020042602</v>
      </c>
      <c r="C4527" s="5">
        <v>68.099999999999994</v>
      </c>
      <c r="D4527" s="6">
        <v>71.5</v>
      </c>
      <c r="E4527" s="7">
        <f t="shared" si="70"/>
        <v>139.6</v>
      </c>
      <c r="F4527" s="8"/>
    </row>
    <row r="4528" spans="1:6" ht="18" customHeight="1">
      <c r="A4528" s="4" t="s">
        <v>146</v>
      </c>
      <c r="B4528" s="4" t="str">
        <f>"2020032712"</f>
        <v>2020032712</v>
      </c>
      <c r="C4528" s="5">
        <v>67.599999999999994</v>
      </c>
      <c r="D4528" s="6">
        <v>72</v>
      </c>
      <c r="E4528" s="7">
        <f t="shared" si="70"/>
        <v>139.6</v>
      </c>
      <c r="F4528" s="8"/>
    </row>
    <row r="4529" spans="1:6" ht="18" customHeight="1">
      <c r="A4529" s="4" t="s">
        <v>146</v>
      </c>
      <c r="B4529" s="4" t="str">
        <f>"2020046105"</f>
        <v>2020046105</v>
      </c>
      <c r="C4529" s="5">
        <v>67.8</v>
      </c>
      <c r="D4529" s="6">
        <v>71</v>
      </c>
      <c r="E4529" s="7">
        <f t="shared" si="70"/>
        <v>138.80000000000001</v>
      </c>
      <c r="F4529" s="8"/>
    </row>
    <row r="4530" spans="1:6" ht="18" customHeight="1">
      <c r="A4530" s="4" t="s">
        <v>146</v>
      </c>
      <c r="B4530" s="4" t="str">
        <f>"2020045816"</f>
        <v>2020045816</v>
      </c>
      <c r="C4530" s="5">
        <v>64.099999999999994</v>
      </c>
      <c r="D4530" s="6">
        <v>74</v>
      </c>
      <c r="E4530" s="7">
        <f t="shared" si="70"/>
        <v>138.1</v>
      </c>
      <c r="F4530" s="8"/>
    </row>
    <row r="4531" spans="1:6" ht="18" customHeight="1">
      <c r="A4531" s="4" t="s">
        <v>146</v>
      </c>
      <c r="B4531" s="4" t="str">
        <f>"2020010407"</f>
        <v>2020010407</v>
      </c>
      <c r="C4531" s="5">
        <v>71.099999999999994</v>
      </c>
      <c r="D4531" s="6">
        <v>66</v>
      </c>
      <c r="E4531" s="7">
        <f t="shared" si="70"/>
        <v>137.1</v>
      </c>
      <c r="F4531" s="8"/>
    </row>
    <row r="4532" spans="1:6" ht="18" customHeight="1">
      <c r="A4532" s="4" t="s">
        <v>146</v>
      </c>
      <c r="B4532" s="4" t="str">
        <f>"2020020309"</f>
        <v>2020020309</v>
      </c>
      <c r="C4532" s="5">
        <v>66</v>
      </c>
      <c r="D4532" s="6">
        <v>70</v>
      </c>
      <c r="E4532" s="7">
        <f t="shared" si="70"/>
        <v>136</v>
      </c>
      <c r="F4532" s="8"/>
    </row>
    <row r="4533" spans="1:6" ht="18" customHeight="1">
      <c r="A4533" s="4" t="s">
        <v>146</v>
      </c>
      <c r="B4533" s="4" t="str">
        <f>"2020046007"</f>
        <v>2020046007</v>
      </c>
      <c r="C4533" s="5">
        <v>66.900000000000006</v>
      </c>
      <c r="D4533" s="6">
        <v>69</v>
      </c>
      <c r="E4533" s="7">
        <f t="shared" si="70"/>
        <v>135.9</v>
      </c>
      <c r="F4533" s="8"/>
    </row>
    <row r="4534" spans="1:6" ht="18" customHeight="1">
      <c r="A4534" s="4" t="s">
        <v>146</v>
      </c>
      <c r="B4534" s="4" t="str">
        <f>"2020040729"</f>
        <v>2020040729</v>
      </c>
      <c r="C4534" s="5">
        <v>66.099999999999994</v>
      </c>
      <c r="D4534" s="6">
        <v>68.5</v>
      </c>
      <c r="E4534" s="7">
        <f t="shared" si="70"/>
        <v>134.6</v>
      </c>
      <c r="F4534" s="8"/>
    </row>
    <row r="4535" spans="1:6" ht="18" customHeight="1">
      <c r="A4535" s="4" t="s">
        <v>146</v>
      </c>
      <c r="B4535" s="4" t="str">
        <f>"2020024817"</f>
        <v>2020024817</v>
      </c>
      <c r="C4535" s="5">
        <v>63.9</v>
      </c>
      <c r="D4535" s="6">
        <v>68.5</v>
      </c>
      <c r="E4535" s="7">
        <f t="shared" si="70"/>
        <v>132.4</v>
      </c>
      <c r="F4535" s="8"/>
    </row>
    <row r="4536" spans="1:6" ht="18" customHeight="1">
      <c r="A4536" s="4" t="s">
        <v>146</v>
      </c>
      <c r="B4536" s="4" t="str">
        <f>"2020011003"</f>
        <v>2020011003</v>
      </c>
      <c r="C4536" s="5">
        <v>59.6</v>
      </c>
      <c r="D4536" s="6">
        <v>68</v>
      </c>
      <c r="E4536" s="7">
        <f t="shared" si="70"/>
        <v>127.6</v>
      </c>
      <c r="F4536" s="8"/>
    </row>
    <row r="4537" spans="1:6" ht="18" customHeight="1">
      <c r="A4537" s="4" t="s">
        <v>146</v>
      </c>
      <c r="B4537" s="4" t="str">
        <f>"2020030305"</f>
        <v>2020030305</v>
      </c>
      <c r="C4537" s="5">
        <v>59.5</v>
      </c>
      <c r="D4537" s="6">
        <v>63.5</v>
      </c>
      <c r="E4537" s="7">
        <f t="shared" si="70"/>
        <v>123</v>
      </c>
      <c r="F4537" s="8"/>
    </row>
    <row r="4538" spans="1:6" ht="18" customHeight="1">
      <c r="A4538" s="4" t="s">
        <v>146</v>
      </c>
      <c r="B4538" s="4" t="str">
        <f>"2020033219"</f>
        <v>2020033219</v>
      </c>
      <c r="C4538" s="5">
        <v>57.6</v>
      </c>
      <c r="D4538" s="6">
        <v>56.5</v>
      </c>
      <c r="E4538" s="7">
        <f t="shared" si="70"/>
        <v>114.1</v>
      </c>
      <c r="F4538" s="8"/>
    </row>
    <row r="4539" spans="1:6" ht="18" customHeight="1">
      <c r="A4539" s="4" t="s">
        <v>146</v>
      </c>
      <c r="B4539" s="4" t="str">
        <f>"2020020615"</f>
        <v>2020020615</v>
      </c>
      <c r="C4539" s="5">
        <v>0</v>
      </c>
      <c r="D4539" s="6">
        <v>0</v>
      </c>
      <c r="E4539" s="7">
        <f t="shared" si="70"/>
        <v>0</v>
      </c>
      <c r="F4539" s="8" t="s">
        <v>8</v>
      </c>
    </row>
    <row r="4540" spans="1:6" ht="18" customHeight="1">
      <c r="A4540" s="4" t="s">
        <v>146</v>
      </c>
      <c r="B4540" s="4" t="str">
        <f>"2020021226"</f>
        <v>2020021226</v>
      </c>
      <c r="C4540" s="5">
        <v>0</v>
      </c>
      <c r="D4540" s="6">
        <v>0</v>
      </c>
      <c r="E4540" s="7">
        <f t="shared" si="70"/>
        <v>0</v>
      </c>
      <c r="F4540" s="8" t="s">
        <v>8</v>
      </c>
    </row>
    <row r="4541" spans="1:6" ht="18" customHeight="1">
      <c r="A4541" s="4" t="s">
        <v>146</v>
      </c>
      <c r="B4541" s="4" t="str">
        <f>"2020033814"</f>
        <v>2020033814</v>
      </c>
      <c r="C4541" s="5">
        <v>0</v>
      </c>
      <c r="D4541" s="6">
        <v>0</v>
      </c>
      <c r="E4541" s="7">
        <f t="shared" si="70"/>
        <v>0</v>
      </c>
      <c r="F4541" s="8" t="s">
        <v>8</v>
      </c>
    </row>
    <row r="4542" spans="1:6" ht="18" customHeight="1">
      <c r="A4542" s="4" t="s">
        <v>147</v>
      </c>
      <c r="B4542" s="4" t="str">
        <f>"2020020320"</f>
        <v>2020020320</v>
      </c>
      <c r="C4542" s="5">
        <v>77</v>
      </c>
      <c r="D4542" s="6">
        <v>88</v>
      </c>
      <c r="E4542" s="7">
        <f t="shared" si="70"/>
        <v>165</v>
      </c>
      <c r="F4542" s="8"/>
    </row>
    <row r="4543" spans="1:6" ht="18" customHeight="1">
      <c r="A4543" s="4" t="s">
        <v>147</v>
      </c>
      <c r="B4543" s="4" t="str">
        <f>"2020023201"</f>
        <v>2020023201</v>
      </c>
      <c r="C4543" s="5">
        <v>73.900000000000006</v>
      </c>
      <c r="D4543" s="6">
        <v>87.5</v>
      </c>
      <c r="E4543" s="7">
        <f t="shared" si="70"/>
        <v>161.4</v>
      </c>
      <c r="F4543" s="8"/>
    </row>
    <row r="4544" spans="1:6" ht="18" customHeight="1">
      <c r="A4544" s="4" t="s">
        <v>147</v>
      </c>
      <c r="B4544" s="4" t="str">
        <f>"2020020120"</f>
        <v>2020020120</v>
      </c>
      <c r="C4544" s="5">
        <v>72</v>
      </c>
      <c r="D4544" s="6">
        <v>80.5</v>
      </c>
      <c r="E4544" s="7">
        <f t="shared" si="70"/>
        <v>152.5</v>
      </c>
      <c r="F4544" s="8"/>
    </row>
    <row r="4545" spans="1:6" ht="18" customHeight="1">
      <c r="A4545" s="4" t="s">
        <v>147</v>
      </c>
      <c r="B4545" s="4" t="str">
        <f>"2020040302"</f>
        <v>2020040302</v>
      </c>
      <c r="C4545" s="5">
        <v>75.599999999999994</v>
      </c>
      <c r="D4545" s="6">
        <v>74</v>
      </c>
      <c r="E4545" s="7">
        <f t="shared" si="70"/>
        <v>149.6</v>
      </c>
      <c r="F4545" s="8"/>
    </row>
    <row r="4546" spans="1:6" ht="18" customHeight="1">
      <c r="A4546" s="4" t="s">
        <v>147</v>
      </c>
      <c r="B4546" s="4" t="str">
        <f>"2020024324"</f>
        <v>2020024324</v>
      </c>
      <c r="C4546" s="5">
        <v>73.099999999999994</v>
      </c>
      <c r="D4546" s="6">
        <v>76.5</v>
      </c>
      <c r="E4546" s="7">
        <f t="shared" si="70"/>
        <v>149.6</v>
      </c>
      <c r="F4546" s="8"/>
    </row>
    <row r="4547" spans="1:6" ht="18" customHeight="1">
      <c r="A4547" s="4" t="s">
        <v>147</v>
      </c>
      <c r="B4547" s="4" t="str">
        <f>"2020033022"</f>
        <v>2020033022</v>
      </c>
      <c r="C4547" s="5">
        <v>70.5</v>
      </c>
      <c r="D4547" s="6">
        <v>77.5</v>
      </c>
      <c r="E4547" s="7">
        <f t="shared" ref="E4547:E4610" si="71">SUM(C4547:D4547)</f>
        <v>148</v>
      </c>
      <c r="F4547" s="8"/>
    </row>
    <row r="4548" spans="1:6" ht="18" customHeight="1">
      <c r="A4548" s="4" t="s">
        <v>147</v>
      </c>
      <c r="B4548" s="4" t="str">
        <f>"2020040923"</f>
        <v>2020040923</v>
      </c>
      <c r="C4548" s="5">
        <v>74.099999999999994</v>
      </c>
      <c r="D4548" s="6">
        <v>72</v>
      </c>
      <c r="E4548" s="7">
        <f t="shared" si="71"/>
        <v>146.1</v>
      </c>
      <c r="F4548" s="8"/>
    </row>
    <row r="4549" spans="1:6" ht="18" customHeight="1">
      <c r="A4549" s="4" t="s">
        <v>147</v>
      </c>
      <c r="B4549" s="4" t="str">
        <f>"2020023901"</f>
        <v>2020023901</v>
      </c>
      <c r="C4549" s="5">
        <v>68.8</v>
      </c>
      <c r="D4549" s="6">
        <v>76.5</v>
      </c>
      <c r="E4549" s="7">
        <f t="shared" si="71"/>
        <v>145.30000000000001</v>
      </c>
      <c r="F4549" s="8"/>
    </row>
    <row r="4550" spans="1:6" ht="18" customHeight="1">
      <c r="A4550" s="4" t="s">
        <v>147</v>
      </c>
      <c r="B4550" s="4" t="str">
        <f>"2020041529"</f>
        <v>2020041529</v>
      </c>
      <c r="C4550" s="5">
        <v>69.5</v>
      </c>
      <c r="D4550" s="6">
        <v>75</v>
      </c>
      <c r="E4550" s="7">
        <f t="shared" si="71"/>
        <v>144.5</v>
      </c>
      <c r="F4550" s="8"/>
    </row>
    <row r="4551" spans="1:6" ht="18" customHeight="1">
      <c r="A4551" s="4" t="s">
        <v>147</v>
      </c>
      <c r="B4551" s="4" t="str">
        <f>"2020021027"</f>
        <v>2020021027</v>
      </c>
      <c r="C4551" s="5">
        <v>67.7</v>
      </c>
      <c r="D4551" s="6">
        <v>75.5</v>
      </c>
      <c r="E4551" s="7">
        <f t="shared" si="71"/>
        <v>143.19999999999999</v>
      </c>
      <c r="F4551" s="8"/>
    </row>
    <row r="4552" spans="1:6" ht="18" customHeight="1">
      <c r="A4552" s="4" t="s">
        <v>147</v>
      </c>
      <c r="B4552" s="4" t="str">
        <f>"2020033422"</f>
        <v>2020033422</v>
      </c>
      <c r="C4552" s="5">
        <v>70.900000000000006</v>
      </c>
      <c r="D4552" s="6">
        <v>72</v>
      </c>
      <c r="E4552" s="7">
        <f t="shared" si="71"/>
        <v>142.9</v>
      </c>
      <c r="F4552" s="9" t="s">
        <v>13</v>
      </c>
    </row>
    <row r="4553" spans="1:6" ht="18" customHeight="1">
      <c r="A4553" s="4" t="s">
        <v>147</v>
      </c>
      <c r="B4553" s="4" t="str">
        <f>"2020044422"</f>
        <v>2020044422</v>
      </c>
      <c r="C4553" s="5">
        <v>68.8</v>
      </c>
      <c r="D4553" s="6">
        <v>73.5</v>
      </c>
      <c r="E4553" s="7">
        <f t="shared" si="71"/>
        <v>142.30000000000001</v>
      </c>
      <c r="F4553" s="8"/>
    </row>
    <row r="4554" spans="1:6" ht="18" customHeight="1">
      <c r="A4554" s="4" t="s">
        <v>147</v>
      </c>
      <c r="B4554" s="4" t="str">
        <f>"2020033117"</f>
        <v>2020033117</v>
      </c>
      <c r="C4554" s="5">
        <v>72.400000000000006</v>
      </c>
      <c r="D4554" s="6">
        <v>69</v>
      </c>
      <c r="E4554" s="7">
        <f t="shared" si="71"/>
        <v>141.4</v>
      </c>
      <c r="F4554" s="8"/>
    </row>
    <row r="4555" spans="1:6" ht="18" customHeight="1">
      <c r="A4555" s="4" t="s">
        <v>147</v>
      </c>
      <c r="B4555" s="4" t="str">
        <f>"2020023630"</f>
        <v>2020023630</v>
      </c>
      <c r="C4555" s="5">
        <v>73.7</v>
      </c>
      <c r="D4555" s="6">
        <v>66.5</v>
      </c>
      <c r="E4555" s="7">
        <f t="shared" si="71"/>
        <v>140.19999999999999</v>
      </c>
      <c r="F4555" s="8"/>
    </row>
    <row r="4556" spans="1:6" ht="18" customHeight="1">
      <c r="A4556" s="4" t="s">
        <v>147</v>
      </c>
      <c r="B4556" s="4" t="str">
        <f>"2020031704"</f>
        <v>2020031704</v>
      </c>
      <c r="C4556" s="5">
        <v>73.2</v>
      </c>
      <c r="D4556" s="6">
        <v>65.5</v>
      </c>
      <c r="E4556" s="7">
        <f t="shared" si="71"/>
        <v>138.69999999999999</v>
      </c>
      <c r="F4556" s="8"/>
    </row>
    <row r="4557" spans="1:6" ht="18" customHeight="1">
      <c r="A4557" s="4" t="s">
        <v>147</v>
      </c>
      <c r="B4557" s="4" t="str">
        <f>"2020013116"</f>
        <v>2020013116</v>
      </c>
      <c r="C4557" s="5">
        <v>62.2</v>
      </c>
      <c r="D4557" s="6">
        <v>76.5</v>
      </c>
      <c r="E4557" s="7">
        <f t="shared" si="71"/>
        <v>138.69999999999999</v>
      </c>
      <c r="F4557" s="8"/>
    </row>
    <row r="4558" spans="1:6" ht="18" customHeight="1">
      <c r="A4558" s="4" t="s">
        <v>147</v>
      </c>
      <c r="B4558" s="4" t="str">
        <f>"2020041007"</f>
        <v>2020041007</v>
      </c>
      <c r="C4558" s="5">
        <v>68.5</v>
      </c>
      <c r="D4558" s="6">
        <v>69.5</v>
      </c>
      <c r="E4558" s="7">
        <f t="shared" si="71"/>
        <v>138</v>
      </c>
      <c r="F4558" s="8"/>
    </row>
    <row r="4559" spans="1:6" ht="18" customHeight="1">
      <c r="A4559" s="4" t="s">
        <v>147</v>
      </c>
      <c r="B4559" s="4" t="str">
        <f>"2020046213"</f>
        <v>2020046213</v>
      </c>
      <c r="C4559" s="5">
        <v>72.7</v>
      </c>
      <c r="D4559" s="6">
        <v>64</v>
      </c>
      <c r="E4559" s="7">
        <f t="shared" si="71"/>
        <v>136.69999999999999</v>
      </c>
      <c r="F4559" s="8"/>
    </row>
    <row r="4560" spans="1:6" ht="18" customHeight="1">
      <c r="A4560" s="4" t="s">
        <v>147</v>
      </c>
      <c r="B4560" s="4" t="str">
        <f>"2020041901"</f>
        <v>2020041901</v>
      </c>
      <c r="C4560" s="5">
        <v>60.8</v>
      </c>
      <c r="D4560" s="6">
        <v>75</v>
      </c>
      <c r="E4560" s="7">
        <f t="shared" si="71"/>
        <v>135.80000000000001</v>
      </c>
      <c r="F4560" s="8"/>
    </row>
    <row r="4561" spans="1:6" ht="18" customHeight="1">
      <c r="A4561" s="4" t="s">
        <v>147</v>
      </c>
      <c r="B4561" s="4" t="str">
        <f>"2020030419"</f>
        <v>2020030419</v>
      </c>
      <c r="C4561" s="5">
        <v>68.3</v>
      </c>
      <c r="D4561" s="6">
        <v>67</v>
      </c>
      <c r="E4561" s="7">
        <f t="shared" si="71"/>
        <v>135.30000000000001</v>
      </c>
      <c r="F4561" s="8"/>
    </row>
    <row r="4562" spans="1:6" ht="18" customHeight="1">
      <c r="A4562" s="4" t="s">
        <v>147</v>
      </c>
      <c r="B4562" s="4" t="str">
        <f>"2020011704"</f>
        <v>2020011704</v>
      </c>
      <c r="C4562" s="5">
        <v>64.8</v>
      </c>
      <c r="D4562" s="6">
        <v>70.5</v>
      </c>
      <c r="E4562" s="7">
        <f t="shared" si="71"/>
        <v>135.30000000000001</v>
      </c>
      <c r="F4562" s="8"/>
    </row>
    <row r="4563" spans="1:6" ht="18" customHeight="1">
      <c r="A4563" s="4" t="s">
        <v>147</v>
      </c>
      <c r="B4563" s="4" t="str">
        <f>"2020011616"</f>
        <v>2020011616</v>
      </c>
      <c r="C4563" s="5">
        <v>63</v>
      </c>
      <c r="D4563" s="6">
        <v>71.5</v>
      </c>
      <c r="E4563" s="7">
        <f t="shared" si="71"/>
        <v>134.5</v>
      </c>
      <c r="F4563" s="8"/>
    </row>
    <row r="4564" spans="1:6" ht="18" customHeight="1">
      <c r="A4564" s="4" t="s">
        <v>147</v>
      </c>
      <c r="B4564" s="4" t="str">
        <f>"2020043614"</f>
        <v>2020043614</v>
      </c>
      <c r="C4564" s="5">
        <v>70.099999999999994</v>
      </c>
      <c r="D4564" s="6">
        <v>62.5</v>
      </c>
      <c r="E4564" s="7">
        <f t="shared" si="71"/>
        <v>132.6</v>
      </c>
      <c r="F4564" s="8"/>
    </row>
    <row r="4565" spans="1:6" ht="18" customHeight="1">
      <c r="A4565" s="4" t="s">
        <v>147</v>
      </c>
      <c r="B4565" s="4" t="str">
        <f>"2020046305"</f>
        <v>2020046305</v>
      </c>
      <c r="C4565" s="5">
        <v>66.3</v>
      </c>
      <c r="D4565" s="6">
        <v>65.5</v>
      </c>
      <c r="E4565" s="7">
        <f t="shared" si="71"/>
        <v>131.80000000000001</v>
      </c>
      <c r="F4565" s="8"/>
    </row>
    <row r="4566" spans="1:6" ht="18" customHeight="1">
      <c r="A4566" s="4" t="s">
        <v>147</v>
      </c>
      <c r="B4566" s="4" t="str">
        <f>"2020024228"</f>
        <v>2020024228</v>
      </c>
      <c r="C4566" s="5">
        <v>64.3</v>
      </c>
      <c r="D4566" s="6">
        <v>67.5</v>
      </c>
      <c r="E4566" s="7">
        <f t="shared" si="71"/>
        <v>131.80000000000001</v>
      </c>
      <c r="F4566" s="8"/>
    </row>
    <row r="4567" spans="1:6" ht="18" customHeight="1">
      <c r="A4567" s="4" t="s">
        <v>147</v>
      </c>
      <c r="B4567" s="4" t="str">
        <f>"2020043225"</f>
        <v>2020043225</v>
      </c>
      <c r="C4567" s="5">
        <v>68.599999999999994</v>
      </c>
      <c r="D4567" s="6">
        <v>61.5</v>
      </c>
      <c r="E4567" s="7">
        <f t="shared" si="71"/>
        <v>130.1</v>
      </c>
      <c r="F4567" s="8"/>
    </row>
    <row r="4568" spans="1:6" ht="18" customHeight="1">
      <c r="A4568" s="4" t="s">
        <v>147</v>
      </c>
      <c r="B4568" s="4" t="str">
        <f>"2020030826"</f>
        <v>2020030826</v>
      </c>
      <c r="C4568" s="5">
        <v>59.9</v>
      </c>
      <c r="D4568" s="6">
        <v>70</v>
      </c>
      <c r="E4568" s="7">
        <f t="shared" si="71"/>
        <v>129.9</v>
      </c>
      <c r="F4568" s="8"/>
    </row>
    <row r="4569" spans="1:6" ht="18" customHeight="1">
      <c r="A4569" s="4" t="s">
        <v>147</v>
      </c>
      <c r="B4569" s="4" t="str">
        <f>"2020047013"</f>
        <v>2020047013</v>
      </c>
      <c r="C4569" s="5">
        <v>64.5</v>
      </c>
      <c r="D4569" s="6">
        <v>65</v>
      </c>
      <c r="E4569" s="7">
        <f t="shared" si="71"/>
        <v>129.5</v>
      </c>
      <c r="F4569" s="8"/>
    </row>
    <row r="4570" spans="1:6" ht="18" customHeight="1">
      <c r="A4570" s="4" t="s">
        <v>147</v>
      </c>
      <c r="B4570" s="4" t="str">
        <f>"2020043408"</f>
        <v>2020043408</v>
      </c>
      <c r="C4570" s="5">
        <v>59.3</v>
      </c>
      <c r="D4570" s="6">
        <v>70</v>
      </c>
      <c r="E4570" s="7">
        <f t="shared" si="71"/>
        <v>129.30000000000001</v>
      </c>
      <c r="F4570" s="8"/>
    </row>
    <row r="4571" spans="1:6" ht="18" customHeight="1">
      <c r="A4571" s="4" t="s">
        <v>147</v>
      </c>
      <c r="B4571" s="4" t="str">
        <f>"2020041610"</f>
        <v>2020041610</v>
      </c>
      <c r="C4571" s="5">
        <v>64.2</v>
      </c>
      <c r="D4571" s="6">
        <v>64.5</v>
      </c>
      <c r="E4571" s="7">
        <f t="shared" si="71"/>
        <v>128.69999999999999</v>
      </c>
      <c r="F4571" s="8"/>
    </row>
    <row r="4572" spans="1:6" ht="18" customHeight="1">
      <c r="A4572" s="4" t="s">
        <v>147</v>
      </c>
      <c r="B4572" s="4" t="str">
        <f>"2020031817"</f>
        <v>2020031817</v>
      </c>
      <c r="C4572" s="5">
        <v>61.7</v>
      </c>
      <c r="D4572" s="6">
        <v>63.5</v>
      </c>
      <c r="E4572" s="7">
        <f t="shared" si="71"/>
        <v>125.2</v>
      </c>
      <c r="F4572" s="8"/>
    </row>
    <row r="4573" spans="1:6" ht="18" customHeight="1">
      <c r="A4573" s="4" t="s">
        <v>147</v>
      </c>
      <c r="B4573" s="4" t="str">
        <f>"2020033426"</f>
        <v>2020033426</v>
      </c>
      <c r="C4573" s="5">
        <v>63.2</v>
      </c>
      <c r="D4573" s="6">
        <v>58</v>
      </c>
      <c r="E4573" s="7">
        <f t="shared" si="71"/>
        <v>121.2</v>
      </c>
      <c r="F4573" s="8"/>
    </row>
    <row r="4574" spans="1:6" ht="18" customHeight="1">
      <c r="A4574" s="4" t="s">
        <v>147</v>
      </c>
      <c r="B4574" s="4" t="str">
        <f>"2020031726"</f>
        <v>2020031726</v>
      </c>
      <c r="C4574" s="5">
        <v>59.2</v>
      </c>
      <c r="D4574" s="6">
        <v>60.5</v>
      </c>
      <c r="E4574" s="7">
        <f t="shared" si="71"/>
        <v>119.7</v>
      </c>
      <c r="F4574" s="8"/>
    </row>
    <row r="4575" spans="1:6" ht="18" customHeight="1">
      <c r="A4575" s="4" t="s">
        <v>147</v>
      </c>
      <c r="B4575" s="4" t="str">
        <f>"2020010901"</f>
        <v>2020010901</v>
      </c>
      <c r="C4575" s="5">
        <v>57.5</v>
      </c>
      <c r="D4575" s="6">
        <v>61.5</v>
      </c>
      <c r="E4575" s="7">
        <f t="shared" si="71"/>
        <v>119</v>
      </c>
      <c r="F4575" s="8"/>
    </row>
    <row r="4576" spans="1:6" ht="18" customHeight="1">
      <c r="A4576" s="4" t="s">
        <v>147</v>
      </c>
      <c r="B4576" s="4" t="str">
        <f>"2020033308"</f>
        <v>2020033308</v>
      </c>
      <c r="C4576" s="5">
        <v>56.7</v>
      </c>
      <c r="D4576" s="6">
        <v>60</v>
      </c>
      <c r="E4576" s="7">
        <f t="shared" si="71"/>
        <v>116.7</v>
      </c>
      <c r="F4576" s="8"/>
    </row>
    <row r="4577" spans="1:6" ht="18" customHeight="1">
      <c r="A4577" s="4" t="s">
        <v>147</v>
      </c>
      <c r="B4577" s="4" t="str">
        <f>"2020011312"</f>
        <v>2020011312</v>
      </c>
      <c r="C4577" s="5">
        <v>61.8</v>
      </c>
      <c r="D4577" s="6">
        <v>52.5</v>
      </c>
      <c r="E4577" s="7">
        <f t="shared" si="71"/>
        <v>114.3</v>
      </c>
      <c r="F4577" s="8"/>
    </row>
    <row r="4578" spans="1:6" ht="18" customHeight="1">
      <c r="A4578" s="4" t="s">
        <v>147</v>
      </c>
      <c r="B4578" s="4" t="str">
        <f>"2020023220"</f>
        <v>2020023220</v>
      </c>
      <c r="C4578" s="5">
        <v>62.9</v>
      </c>
      <c r="D4578" s="6">
        <v>50.5</v>
      </c>
      <c r="E4578" s="7">
        <f t="shared" si="71"/>
        <v>113.4</v>
      </c>
      <c r="F4578" s="8"/>
    </row>
    <row r="4579" spans="1:6" ht="18" customHeight="1">
      <c r="A4579" s="4" t="s">
        <v>147</v>
      </c>
      <c r="B4579" s="4" t="str">
        <f>"2020010213"</f>
        <v>2020010213</v>
      </c>
      <c r="C4579" s="5">
        <v>0</v>
      </c>
      <c r="D4579" s="6">
        <v>0</v>
      </c>
      <c r="E4579" s="7">
        <f t="shared" si="71"/>
        <v>0</v>
      </c>
      <c r="F4579" s="9" t="s">
        <v>8</v>
      </c>
    </row>
    <row r="4580" spans="1:6" ht="18" customHeight="1">
      <c r="A4580" s="4" t="s">
        <v>147</v>
      </c>
      <c r="B4580" s="4" t="str">
        <f>"2020010709"</f>
        <v>2020010709</v>
      </c>
      <c r="C4580" s="5">
        <v>0</v>
      </c>
      <c r="D4580" s="6">
        <v>0</v>
      </c>
      <c r="E4580" s="7">
        <f t="shared" si="71"/>
        <v>0</v>
      </c>
      <c r="F4580" s="9" t="s">
        <v>8</v>
      </c>
    </row>
    <row r="4581" spans="1:6" ht="18" customHeight="1">
      <c r="A4581" s="4" t="s">
        <v>147</v>
      </c>
      <c r="B4581" s="4" t="str">
        <f>"2020010819"</f>
        <v>2020010819</v>
      </c>
      <c r="C4581" s="5">
        <v>0</v>
      </c>
      <c r="D4581" s="6">
        <v>0</v>
      </c>
      <c r="E4581" s="7">
        <f t="shared" si="71"/>
        <v>0</v>
      </c>
      <c r="F4581" s="9" t="s">
        <v>8</v>
      </c>
    </row>
    <row r="4582" spans="1:6" ht="18" customHeight="1">
      <c r="A4582" s="4" t="s">
        <v>147</v>
      </c>
      <c r="B4582" s="4" t="str">
        <f>"2020011305"</f>
        <v>2020011305</v>
      </c>
      <c r="C4582" s="5">
        <v>0</v>
      </c>
      <c r="D4582" s="6">
        <v>0</v>
      </c>
      <c r="E4582" s="7">
        <f t="shared" si="71"/>
        <v>0</v>
      </c>
      <c r="F4582" s="9" t="s">
        <v>8</v>
      </c>
    </row>
    <row r="4583" spans="1:6" ht="18" customHeight="1">
      <c r="A4583" s="4" t="s">
        <v>147</v>
      </c>
      <c r="B4583" s="4" t="str">
        <f>"2020011417"</f>
        <v>2020011417</v>
      </c>
      <c r="C4583" s="5">
        <v>0</v>
      </c>
      <c r="D4583" s="6">
        <v>0</v>
      </c>
      <c r="E4583" s="7">
        <f t="shared" si="71"/>
        <v>0</v>
      </c>
      <c r="F4583" s="9" t="s">
        <v>8</v>
      </c>
    </row>
    <row r="4584" spans="1:6" ht="18" customHeight="1">
      <c r="A4584" s="4" t="s">
        <v>147</v>
      </c>
      <c r="B4584" s="4" t="str">
        <f>"2020013628"</f>
        <v>2020013628</v>
      </c>
      <c r="C4584" s="5">
        <v>0</v>
      </c>
      <c r="D4584" s="6">
        <v>0</v>
      </c>
      <c r="E4584" s="7">
        <f t="shared" si="71"/>
        <v>0</v>
      </c>
      <c r="F4584" s="9" t="s">
        <v>8</v>
      </c>
    </row>
    <row r="4585" spans="1:6" ht="18" customHeight="1">
      <c r="A4585" s="4" t="s">
        <v>147</v>
      </c>
      <c r="B4585" s="4" t="str">
        <f>"2020022330"</f>
        <v>2020022330</v>
      </c>
      <c r="C4585" s="5">
        <v>0</v>
      </c>
      <c r="D4585" s="6">
        <v>0</v>
      </c>
      <c r="E4585" s="7">
        <f t="shared" si="71"/>
        <v>0</v>
      </c>
      <c r="F4585" s="8" t="s">
        <v>8</v>
      </c>
    </row>
    <row r="4586" spans="1:6" ht="18" customHeight="1">
      <c r="A4586" s="4" t="s">
        <v>147</v>
      </c>
      <c r="B4586" s="4" t="str">
        <f>"2020023214"</f>
        <v>2020023214</v>
      </c>
      <c r="C4586" s="5">
        <v>0</v>
      </c>
      <c r="D4586" s="6">
        <v>0</v>
      </c>
      <c r="E4586" s="7">
        <f t="shared" si="71"/>
        <v>0</v>
      </c>
      <c r="F4586" s="8" t="s">
        <v>8</v>
      </c>
    </row>
    <row r="4587" spans="1:6" ht="18" customHeight="1">
      <c r="A4587" s="4" t="s">
        <v>147</v>
      </c>
      <c r="B4587" s="4" t="str">
        <f>"2020023521"</f>
        <v>2020023521</v>
      </c>
      <c r="C4587" s="5">
        <v>0</v>
      </c>
      <c r="D4587" s="6">
        <v>0</v>
      </c>
      <c r="E4587" s="7">
        <f t="shared" si="71"/>
        <v>0</v>
      </c>
      <c r="F4587" s="8" t="s">
        <v>8</v>
      </c>
    </row>
    <row r="4588" spans="1:6" ht="18" customHeight="1">
      <c r="A4588" s="4" t="s">
        <v>147</v>
      </c>
      <c r="B4588" s="4" t="str">
        <f>"2020031829"</f>
        <v>2020031829</v>
      </c>
      <c r="C4588" s="5">
        <v>0</v>
      </c>
      <c r="D4588" s="6">
        <v>0</v>
      </c>
      <c r="E4588" s="7">
        <f t="shared" si="71"/>
        <v>0</v>
      </c>
      <c r="F4588" s="8" t="s">
        <v>8</v>
      </c>
    </row>
    <row r="4589" spans="1:6" ht="18" customHeight="1">
      <c r="A4589" s="4" t="s">
        <v>147</v>
      </c>
      <c r="B4589" s="4" t="str">
        <f>"2020033315"</f>
        <v>2020033315</v>
      </c>
      <c r="C4589" s="5">
        <v>0</v>
      </c>
      <c r="D4589" s="6">
        <v>0</v>
      </c>
      <c r="E4589" s="7">
        <f t="shared" si="71"/>
        <v>0</v>
      </c>
      <c r="F4589" s="8" t="s">
        <v>8</v>
      </c>
    </row>
    <row r="4590" spans="1:6" ht="18" customHeight="1">
      <c r="A4590" s="4" t="s">
        <v>147</v>
      </c>
      <c r="B4590" s="4" t="str">
        <f>"2020033402"</f>
        <v>2020033402</v>
      </c>
      <c r="C4590" s="5">
        <v>0</v>
      </c>
      <c r="D4590" s="6">
        <v>0</v>
      </c>
      <c r="E4590" s="7">
        <f t="shared" si="71"/>
        <v>0</v>
      </c>
      <c r="F4590" s="8" t="s">
        <v>8</v>
      </c>
    </row>
    <row r="4591" spans="1:6" ht="18" customHeight="1">
      <c r="A4591" s="4" t="s">
        <v>147</v>
      </c>
      <c r="B4591" s="4" t="str">
        <f>"2020040117"</f>
        <v>2020040117</v>
      </c>
      <c r="C4591" s="5">
        <v>0</v>
      </c>
      <c r="D4591" s="6">
        <v>0</v>
      </c>
      <c r="E4591" s="7">
        <f t="shared" si="71"/>
        <v>0</v>
      </c>
      <c r="F4591" s="8" t="s">
        <v>8</v>
      </c>
    </row>
    <row r="4592" spans="1:6" ht="18" customHeight="1">
      <c r="A4592" s="4" t="s">
        <v>147</v>
      </c>
      <c r="B4592" s="4" t="str">
        <f>"2020041525"</f>
        <v>2020041525</v>
      </c>
      <c r="C4592" s="5">
        <v>0</v>
      </c>
      <c r="D4592" s="6">
        <v>0</v>
      </c>
      <c r="E4592" s="7">
        <f t="shared" si="71"/>
        <v>0</v>
      </c>
      <c r="F4592" s="8" t="s">
        <v>8</v>
      </c>
    </row>
    <row r="4593" spans="1:6" ht="18" customHeight="1">
      <c r="A4593" s="4" t="s">
        <v>147</v>
      </c>
      <c r="B4593" s="4" t="str">
        <f>"2020044925"</f>
        <v>2020044925</v>
      </c>
      <c r="C4593" s="5">
        <v>0</v>
      </c>
      <c r="D4593" s="6">
        <v>0</v>
      </c>
      <c r="E4593" s="7">
        <f t="shared" si="71"/>
        <v>0</v>
      </c>
      <c r="F4593" s="8" t="s">
        <v>8</v>
      </c>
    </row>
    <row r="4594" spans="1:6" ht="18" customHeight="1">
      <c r="A4594" s="4" t="s">
        <v>147</v>
      </c>
      <c r="B4594" s="4" t="str">
        <f>"2020045406"</f>
        <v>2020045406</v>
      </c>
      <c r="C4594" s="5">
        <v>0</v>
      </c>
      <c r="D4594" s="6">
        <v>0</v>
      </c>
      <c r="E4594" s="7">
        <f t="shared" si="71"/>
        <v>0</v>
      </c>
      <c r="F4594" s="8" t="s">
        <v>8</v>
      </c>
    </row>
    <row r="4595" spans="1:6" ht="18" customHeight="1">
      <c r="A4595" s="4" t="s">
        <v>147</v>
      </c>
      <c r="B4595" s="4" t="str">
        <f>"2020047120"</f>
        <v>2020047120</v>
      </c>
      <c r="C4595" s="5">
        <v>0</v>
      </c>
      <c r="D4595" s="6">
        <v>0</v>
      </c>
      <c r="E4595" s="7">
        <f t="shared" si="71"/>
        <v>0</v>
      </c>
      <c r="F4595" s="8" t="s">
        <v>8</v>
      </c>
    </row>
    <row r="4596" spans="1:6" ht="18" customHeight="1">
      <c r="A4596" s="4" t="s">
        <v>147</v>
      </c>
      <c r="B4596" s="4" t="str">
        <f>"2020047213"</f>
        <v>2020047213</v>
      </c>
      <c r="C4596" s="5">
        <v>0</v>
      </c>
      <c r="D4596" s="6">
        <v>0</v>
      </c>
      <c r="E4596" s="7">
        <f t="shared" si="71"/>
        <v>0</v>
      </c>
      <c r="F4596" s="8" t="s">
        <v>8</v>
      </c>
    </row>
    <row r="4597" spans="1:6" ht="18" customHeight="1">
      <c r="A4597" s="4" t="s">
        <v>147</v>
      </c>
      <c r="B4597" s="4" t="str">
        <f>"2020047313"</f>
        <v>2020047313</v>
      </c>
      <c r="C4597" s="5">
        <v>0</v>
      </c>
      <c r="D4597" s="6">
        <v>0</v>
      </c>
      <c r="E4597" s="7">
        <f t="shared" si="71"/>
        <v>0</v>
      </c>
      <c r="F4597" s="8" t="s">
        <v>8</v>
      </c>
    </row>
    <row r="4598" spans="1:6" ht="18" customHeight="1">
      <c r="A4598" s="4" t="s">
        <v>148</v>
      </c>
      <c r="B4598" s="4" t="str">
        <f>"2020024101"</f>
        <v>2020024101</v>
      </c>
      <c r="C4598" s="5">
        <v>69.5</v>
      </c>
      <c r="D4598" s="6">
        <v>78.5</v>
      </c>
      <c r="E4598" s="7">
        <f t="shared" si="71"/>
        <v>148</v>
      </c>
      <c r="F4598" s="8"/>
    </row>
    <row r="4599" spans="1:6" ht="18" customHeight="1">
      <c r="A4599" s="4" t="s">
        <v>148</v>
      </c>
      <c r="B4599" s="4" t="str">
        <f>"2020044309"</f>
        <v>2020044309</v>
      </c>
      <c r="C4599" s="5">
        <v>67.5</v>
      </c>
      <c r="D4599" s="6">
        <v>78.5</v>
      </c>
      <c r="E4599" s="7">
        <f t="shared" si="71"/>
        <v>146</v>
      </c>
      <c r="F4599" s="8"/>
    </row>
    <row r="4600" spans="1:6" ht="18" customHeight="1">
      <c r="A4600" s="4" t="s">
        <v>148</v>
      </c>
      <c r="B4600" s="4" t="str">
        <f>"2020032614"</f>
        <v>2020032614</v>
      </c>
      <c r="C4600" s="5">
        <v>73.7</v>
      </c>
      <c r="D4600" s="6">
        <v>68.5</v>
      </c>
      <c r="E4600" s="7">
        <f t="shared" si="71"/>
        <v>142.19999999999999</v>
      </c>
      <c r="F4600" s="8"/>
    </row>
    <row r="4601" spans="1:6" ht="18" customHeight="1">
      <c r="A4601" s="4" t="s">
        <v>148</v>
      </c>
      <c r="B4601" s="4" t="str">
        <f>"2020012808"</f>
        <v>2020012808</v>
      </c>
      <c r="C4601" s="5">
        <v>69.8</v>
      </c>
      <c r="D4601" s="6">
        <v>71</v>
      </c>
      <c r="E4601" s="7">
        <f t="shared" si="71"/>
        <v>140.80000000000001</v>
      </c>
      <c r="F4601" s="8"/>
    </row>
    <row r="4602" spans="1:6" ht="18" customHeight="1">
      <c r="A4602" s="4" t="s">
        <v>148</v>
      </c>
      <c r="B4602" s="4" t="str">
        <f>"2020047301"</f>
        <v>2020047301</v>
      </c>
      <c r="C4602" s="5">
        <v>74.5</v>
      </c>
      <c r="D4602" s="6">
        <v>66</v>
      </c>
      <c r="E4602" s="7">
        <f t="shared" si="71"/>
        <v>140.5</v>
      </c>
      <c r="F4602" s="8"/>
    </row>
    <row r="4603" spans="1:6" ht="18" customHeight="1">
      <c r="A4603" s="4" t="s">
        <v>148</v>
      </c>
      <c r="B4603" s="4" t="str">
        <f>"2020032805"</f>
        <v>2020032805</v>
      </c>
      <c r="C4603" s="5">
        <v>63.3</v>
      </c>
      <c r="D4603" s="6">
        <v>76.5</v>
      </c>
      <c r="E4603" s="7">
        <f t="shared" si="71"/>
        <v>139.80000000000001</v>
      </c>
      <c r="F4603" s="8"/>
    </row>
    <row r="4604" spans="1:6" ht="18" customHeight="1">
      <c r="A4604" s="4" t="s">
        <v>148</v>
      </c>
      <c r="B4604" s="4" t="str">
        <f>"2020033928"</f>
        <v>2020033928</v>
      </c>
      <c r="C4604" s="5">
        <v>65.599999999999994</v>
      </c>
      <c r="D4604" s="6">
        <v>72.5</v>
      </c>
      <c r="E4604" s="7">
        <f t="shared" si="71"/>
        <v>138.1</v>
      </c>
      <c r="F4604" s="8"/>
    </row>
    <row r="4605" spans="1:6" ht="18" customHeight="1">
      <c r="A4605" s="4" t="s">
        <v>148</v>
      </c>
      <c r="B4605" s="4" t="str">
        <f>"2020046002"</f>
        <v>2020046002</v>
      </c>
      <c r="C4605" s="5">
        <v>67.900000000000006</v>
      </c>
      <c r="D4605" s="6">
        <v>69</v>
      </c>
      <c r="E4605" s="7">
        <f t="shared" si="71"/>
        <v>136.9</v>
      </c>
      <c r="F4605" s="8"/>
    </row>
    <row r="4606" spans="1:6" ht="18" customHeight="1">
      <c r="A4606" s="4" t="s">
        <v>148</v>
      </c>
      <c r="B4606" s="4" t="str">
        <f>"2020020623"</f>
        <v>2020020623</v>
      </c>
      <c r="C4606" s="5">
        <v>69.900000000000006</v>
      </c>
      <c r="D4606" s="6">
        <v>66.5</v>
      </c>
      <c r="E4606" s="7">
        <f t="shared" si="71"/>
        <v>136.4</v>
      </c>
      <c r="F4606" s="8"/>
    </row>
    <row r="4607" spans="1:6" ht="18" customHeight="1">
      <c r="A4607" s="4" t="s">
        <v>148</v>
      </c>
      <c r="B4607" s="4" t="str">
        <f>"2020013415"</f>
        <v>2020013415</v>
      </c>
      <c r="C4607" s="5">
        <v>60.5</v>
      </c>
      <c r="D4607" s="6">
        <v>69.5</v>
      </c>
      <c r="E4607" s="7">
        <f t="shared" si="71"/>
        <v>130</v>
      </c>
      <c r="F4607" s="8"/>
    </row>
    <row r="4608" spans="1:6" ht="18" customHeight="1">
      <c r="A4608" s="4" t="s">
        <v>148</v>
      </c>
      <c r="B4608" s="4" t="str">
        <f>"2020012521"</f>
        <v>2020012521</v>
      </c>
      <c r="C4608" s="5">
        <v>72.099999999999994</v>
      </c>
      <c r="D4608" s="6">
        <v>56.5</v>
      </c>
      <c r="E4608" s="7">
        <f t="shared" si="71"/>
        <v>128.6</v>
      </c>
      <c r="F4608" s="8"/>
    </row>
    <row r="4609" spans="1:6" ht="18" customHeight="1">
      <c r="A4609" s="4" t="s">
        <v>148</v>
      </c>
      <c r="B4609" s="4" t="str">
        <f>"2020012003"</f>
        <v>2020012003</v>
      </c>
      <c r="C4609" s="5">
        <v>67.5</v>
      </c>
      <c r="D4609" s="6">
        <v>55.5</v>
      </c>
      <c r="E4609" s="7">
        <f t="shared" si="71"/>
        <v>123</v>
      </c>
      <c r="F4609" s="8"/>
    </row>
    <row r="4610" spans="1:6" ht="18" customHeight="1">
      <c r="A4610" s="4" t="s">
        <v>148</v>
      </c>
      <c r="B4610" s="4" t="str">
        <f>"2020032714"</f>
        <v>2020032714</v>
      </c>
      <c r="C4610" s="5">
        <v>60.4</v>
      </c>
      <c r="D4610" s="6">
        <v>59</v>
      </c>
      <c r="E4610" s="7">
        <f t="shared" si="71"/>
        <v>119.4</v>
      </c>
      <c r="F4610" s="8"/>
    </row>
    <row r="4611" spans="1:6" ht="18" customHeight="1">
      <c r="A4611" s="4" t="s">
        <v>148</v>
      </c>
      <c r="B4611" s="4" t="str">
        <f>"2020045602"</f>
        <v>2020045602</v>
      </c>
      <c r="C4611" s="5">
        <v>57.9</v>
      </c>
      <c r="D4611" s="6">
        <v>60</v>
      </c>
      <c r="E4611" s="7">
        <f t="shared" ref="E4611:E4674" si="72">SUM(C4611:D4611)</f>
        <v>117.9</v>
      </c>
      <c r="F4611" s="8"/>
    </row>
    <row r="4612" spans="1:6" ht="18" customHeight="1">
      <c r="A4612" s="4" t="s">
        <v>148</v>
      </c>
      <c r="B4612" s="4" t="str">
        <f>"2020013016"</f>
        <v>2020013016</v>
      </c>
      <c r="C4612" s="5">
        <v>0</v>
      </c>
      <c r="D4612" s="6">
        <v>0</v>
      </c>
      <c r="E4612" s="7">
        <f t="shared" si="72"/>
        <v>0</v>
      </c>
      <c r="F4612" s="9" t="s">
        <v>8</v>
      </c>
    </row>
    <row r="4613" spans="1:6" ht="18" customHeight="1">
      <c r="A4613" s="4" t="s">
        <v>148</v>
      </c>
      <c r="B4613" s="4" t="str">
        <f>"2020013819"</f>
        <v>2020013819</v>
      </c>
      <c r="C4613" s="5">
        <v>0</v>
      </c>
      <c r="D4613" s="6">
        <v>0</v>
      </c>
      <c r="E4613" s="7">
        <f t="shared" si="72"/>
        <v>0</v>
      </c>
      <c r="F4613" s="9" t="s">
        <v>8</v>
      </c>
    </row>
    <row r="4614" spans="1:6" ht="18" customHeight="1">
      <c r="A4614" s="4" t="s">
        <v>148</v>
      </c>
      <c r="B4614" s="4" t="str">
        <f>"2020014015"</f>
        <v>2020014015</v>
      </c>
      <c r="C4614" s="5">
        <v>0</v>
      </c>
      <c r="D4614" s="6">
        <v>0</v>
      </c>
      <c r="E4614" s="7">
        <f t="shared" si="72"/>
        <v>0</v>
      </c>
      <c r="F4614" s="9" t="s">
        <v>8</v>
      </c>
    </row>
    <row r="4615" spans="1:6" ht="18" customHeight="1">
      <c r="A4615" s="4" t="s">
        <v>149</v>
      </c>
      <c r="B4615" s="4" t="str">
        <f>"2020012616"</f>
        <v>2020012616</v>
      </c>
      <c r="C4615" s="5">
        <v>62.7</v>
      </c>
      <c r="D4615" s="6">
        <v>72</v>
      </c>
      <c r="E4615" s="7">
        <f t="shared" si="72"/>
        <v>134.69999999999999</v>
      </c>
      <c r="F4615" s="8"/>
    </row>
    <row r="4616" spans="1:6" ht="18" customHeight="1">
      <c r="A4616" s="4" t="s">
        <v>149</v>
      </c>
      <c r="B4616" s="4" t="str">
        <f>"2020041814"</f>
        <v>2020041814</v>
      </c>
      <c r="C4616" s="5">
        <v>69.3</v>
      </c>
      <c r="D4616" s="6">
        <v>59.5</v>
      </c>
      <c r="E4616" s="7">
        <f t="shared" si="72"/>
        <v>128.80000000000001</v>
      </c>
      <c r="F4616" s="8"/>
    </row>
    <row r="4617" spans="1:6" ht="18" customHeight="1">
      <c r="A4617" s="4" t="s">
        <v>149</v>
      </c>
      <c r="B4617" s="4" t="str">
        <f>"2020032413"</f>
        <v>2020032413</v>
      </c>
      <c r="C4617" s="5">
        <v>60.2</v>
      </c>
      <c r="D4617" s="6">
        <v>61.5</v>
      </c>
      <c r="E4617" s="7">
        <f t="shared" si="72"/>
        <v>121.7</v>
      </c>
      <c r="F4617" s="8"/>
    </row>
    <row r="4618" spans="1:6" ht="18" customHeight="1">
      <c r="A4618" s="4" t="s">
        <v>150</v>
      </c>
      <c r="B4618" s="4" t="str">
        <f>"2020040509"</f>
        <v>2020040509</v>
      </c>
      <c r="C4618" s="5">
        <v>73.7</v>
      </c>
      <c r="D4618" s="6">
        <v>78.5</v>
      </c>
      <c r="E4618" s="7">
        <f t="shared" si="72"/>
        <v>152.19999999999999</v>
      </c>
      <c r="F4618" s="8"/>
    </row>
    <row r="4619" spans="1:6" ht="18" customHeight="1">
      <c r="A4619" s="4" t="s">
        <v>150</v>
      </c>
      <c r="B4619" s="4" t="str">
        <f>"2020010523"</f>
        <v>2020010523</v>
      </c>
      <c r="C4619" s="5">
        <v>75.5</v>
      </c>
      <c r="D4619" s="6">
        <v>69</v>
      </c>
      <c r="E4619" s="7">
        <f t="shared" si="72"/>
        <v>144.5</v>
      </c>
      <c r="F4619" s="8"/>
    </row>
    <row r="4620" spans="1:6" ht="18" customHeight="1">
      <c r="A4620" s="4" t="s">
        <v>150</v>
      </c>
      <c r="B4620" s="4" t="str">
        <f>"2020042509"</f>
        <v>2020042509</v>
      </c>
      <c r="C4620" s="5">
        <v>70.3</v>
      </c>
      <c r="D4620" s="6">
        <v>72</v>
      </c>
      <c r="E4620" s="7">
        <f t="shared" si="72"/>
        <v>142.30000000000001</v>
      </c>
      <c r="F4620" s="8"/>
    </row>
    <row r="4621" spans="1:6" ht="18" customHeight="1">
      <c r="A4621" s="4" t="s">
        <v>150</v>
      </c>
      <c r="B4621" s="4" t="str">
        <f>"2020044318"</f>
        <v>2020044318</v>
      </c>
      <c r="C4621" s="5">
        <v>65.599999999999994</v>
      </c>
      <c r="D4621" s="6">
        <v>71</v>
      </c>
      <c r="E4621" s="7">
        <f t="shared" si="72"/>
        <v>136.6</v>
      </c>
      <c r="F4621" s="8"/>
    </row>
    <row r="4622" spans="1:6" ht="18" customHeight="1">
      <c r="A4622" s="4" t="s">
        <v>150</v>
      </c>
      <c r="B4622" s="4" t="str">
        <f>"2020047003"</f>
        <v>2020047003</v>
      </c>
      <c r="C4622" s="5">
        <v>72.8</v>
      </c>
      <c r="D4622" s="6">
        <v>63</v>
      </c>
      <c r="E4622" s="7">
        <f t="shared" si="72"/>
        <v>135.80000000000001</v>
      </c>
      <c r="F4622" s="8"/>
    </row>
    <row r="4623" spans="1:6" ht="18" customHeight="1">
      <c r="A4623" s="4" t="s">
        <v>150</v>
      </c>
      <c r="B4623" s="4" t="str">
        <f>"2020021813"</f>
        <v>2020021813</v>
      </c>
      <c r="C4623" s="5">
        <v>62.4</v>
      </c>
      <c r="D4623" s="6">
        <v>66</v>
      </c>
      <c r="E4623" s="7">
        <f t="shared" si="72"/>
        <v>128.4</v>
      </c>
      <c r="F4623" s="8"/>
    </row>
    <row r="4624" spans="1:6" ht="18" customHeight="1">
      <c r="A4624" s="4" t="s">
        <v>150</v>
      </c>
      <c r="B4624" s="4" t="str">
        <f>"2020044006"</f>
        <v>2020044006</v>
      </c>
      <c r="C4624" s="5">
        <v>60.4</v>
      </c>
      <c r="D4624" s="6">
        <v>63</v>
      </c>
      <c r="E4624" s="7">
        <f t="shared" si="72"/>
        <v>123.4</v>
      </c>
      <c r="F4624" s="8"/>
    </row>
    <row r="4625" spans="1:6" ht="18" customHeight="1">
      <c r="A4625" s="4" t="s">
        <v>150</v>
      </c>
      <c r="B4625" s="4" t="str">
        <f>"2020047520"</f>
        <v>2020047520</v>
      </c>
      <c r="C4625" s="5">
        <v>65.5</v>
      </c>
      <c r="D4625" s="6">
        <v>56.5</v>
      </c>
      <c r="E4625" s="7">
        <f t="shared" si="72"/>
        <v>122</v>
      </c>
      <c r="F4625" s="8"/>
    </row>
    <row r="4626" spans="1:6" ht="18" customHeight="1">
      <c r="A4626" s="4" t="s">
        <v>150</v>
      </c>
      <c r="B4626" s="4" t="str">
        <f>"2020042813"</f>
        <v>2020042813</v>
      </c>
      <c r="C4626" s="5">
        <v>57.7</v>
      </c>
      <c r="D4626" s="6">
        <v>63.5</v>
      </c>
      <c r="E4626" s="7">
        <f t="shared" si="72"/>
        <v>121.2</v>
      </c>
      <c r="F4626" s="8"/>
    </row>
    <row r="4627" spans="1:6" ht="18" customHeight="1">
      <c r="A4627" s="4" t="s">
        <v>150</v>
      </c>
      <c r="B4627" s="4" t="str">
        <f>"2020045917"</f>
        <v>2020045917</v>
      </c>
      <c r="C4627" s="5">
        <v>0</v>
      </c>
      <c r="D4627" s="6">
        <v>0</v>
      </c>
      <c r="E4627" s="7">
        <f t="shared" si="72"/>
        <v>0</v>
      </c>
      <c r="F4627" s="8" t="s">
        <v>8</v>
      </c>
    </row>
    <row r="4628" spans="1:6" ht="18" customHeight="1">
      <c r="A4628" s="4" t="s">
        <v>151</v>
      </c>
      <c r="B4628" s="4" t="str">
        <f>"2020021313"</f>
        <v>2020021313</v>
      </c>
      <c r="C4628" s="5">
        <v>70</v>
      </c>
      <c r="D4628" s="6">
        <v>81.5</v>
      </c>
      <c r="E4628" s="7">
        <f t="shared" si="72"/>
        <v>151.5</v>
      </c>
      <c r="F4628" s="8"/>
    </row>
    <row r="4629" spans="1:6" ht="18" customHeight="1">
      <c r="A4629" s="4" t="s">
        <v>151</v>
      </c>
      <c r="B4629" s="4" t="str">
        <f>"2020024813"</f>
        <v>2020024813</v>
      </c>
      <c r="C4629" s="5">
        <v>72.3</v>
      </c>
      <c r="D4629" s="6">
        <v>72</v>
      </c>
      <c r="E4629" s="7">
        <f t="shared" si="72"/>
        <v>144.30000000000001</v>
      </c>
      <c r="F4629" s="8"/>
    </row>
    <row r="4630" spans="1:6" ht="18" customHeight="1">
      <c r="A4630" s="4" t="s">
        <v>151</v>
      </c>
      <c r="B4630" s="4" t="str">
        <f>"2020014018"</f>
        <v>2020014018</v>
      </c>
      <c r="C4630" s="5">
        <v>70.3</v>
      </c>
      <c r="D4630" s="6">
        <v>74</v>
      </c>
      <c r="E4630" s="7">
        <f t="shared" si="72"/>
        <v>144.30000000000001</v>
      </c>
      <c r="F4630" s="8"/>
    </row>
    <row r="4631" spans="1:6" ht="18" customHeight="1">
      <c r="A4631" s="4" t="s">
        <v>151</v>
      </c>
      <c r="B4631" s="4" t="str">
        <f>"2020045916"</f>
        <v>2020045916</v>
      </c>
      <c r="C4631" s="5">
        <v>74.8</v>
      </c>
      <c r="D4631" s="6">
        <v>64.5</v>
      </c>
      <c r="E4631" s="7">
        <f t="shared" si="72"/>
        <v>139.30000000000001</v>
      </c>
      <c r="F4631" s="8"/>
    </row>
    <row r="4632" spans="1:6" ht="18" customHeight="1">
      <c r="A4632" s="4" t="s">
        <v>151</v>
      </c>
      <c r="B4632" s="4" t="str">
        <f>"2020012004"</f>
        <v>2020012004</v>
      </c>
      <c r="C4632" s="5">
        <v>64.400000000000006</v>
      </c>
      <c r="D4632" s="6">
        <v>74.5</v>
      </c>
      <c r="E4632" s="7">
        <f t="shared" si="72"/>
        <v>138.9</v>
      </c>
      <c r="F4632" s="8"/>
    </row>
    <row r="4633" spans="1:6" ht="18" customHeight="1">
      <c r="A4633" s="4" t="s">
        <v>151</v>
      </c>
      <c r="B4633" s="4" t="str">
        <f>"2020044501"</f>
        <v>2020044501</v>
      </c>
      <c r="C4633" s="5">
        <v>73</v>
      </c>
      <c r="D4633" s="6">
        <v>64</v>
      </c>
      <c r="E4633" s="7">
        <f t="shared" si="72"/>
        <v>137</v>
      </c>
      <c r="F4633" s="8"/>
    </row>
    <row r="4634" spans="1:6" ht="18" customHeight="1">
      <c r="A4634" s="4" t="s">
        <v>151</v>
      </c>
      <c r="B4634" s="4" t="str">
        <f>"2020041616"</f>
        <v>2020041616</v>
      </c>
      <c r="C4634" s="5">
        <v>65.400000000000006</v>
      </c>
      <c r="D4634" s="6">
        <v>66.5</v>
      </c>
      <c r="E4634" s="7">
        <f t="shared" si="72"/>
        <v>131.9</v>
      </c>
      <c r="F4634" s="8"/>
    </row>
    <row r="4635" spans="1:6" ht="18" customHeight="1">
      <c r="A4635" s="4" t="s">
        <v>151</v>
      </c>
      <c r="B4635" s="4" t="str">
        <f>"2020012708"</f>
        <v>2020012708</v>
      </c>
      <c r="C4635" s="5">
        <v>65.8</v>
      </c>
      <c r="D4635" s="6">
        <v>64.5</v>
      </c>
      <c r="E4635" s="7">
        <f t="shared" si="72"/>
        <v>130.30000000000001</v>
      </c>
      <c r="F4635" s="8"/>
    </row>
    <row r="4636" spans="1:6" ht="18" customHeight="1">
      <c r="A4636" s="4" t="s">
        <v>151</v>
      </c>
      <c r="B4636" s="4" t="str">
        <f>"2020043605"</f>
        <v>2020043605</v>
      </c>
      <c r="C4636" s="5">
        <v>65.7</v>
      </c>
      <c r="D4636" s="6">
        <v>61</v>
      </c>
      <c r="E4636" s="7">
        <f t="shared" si="72"/>
        <v>126.7</v>
      </c>
      <c r="F4636" s="8"/>
    </row>
    <row r="4637" spans="1:6" ht="18" customHeight="1">
      <c r="A4637" s="4" t="s">
        <v>151</v>
      </c>
      <c r="B4637" s="4" t="str">
        <f>"2020042122"</f>
        <v>2020042122</v>
      </c>
      <c r="C4637" s="5">
        <v>57.4</v>
      </c>
      <c r="D4637" s="6">
        <v>66.5</v>
      </c>
      <c r="E4637" s="7">
        <f t="shared" si="72"/>
        <v>123.9</v>
      </c>
      <c r="F4637" s="8"/>
    </row>
    <row r="4638" spans="1:6" ht="18" customHeight="1">
      <c r="A4638" s="4" t="s">
        <v>151</v>
      </c>
      <c r="B4638" s="4" t="str">
        <f>"2020013315"</f>
        <v>2020013315</v>
      </c>
      <c r="C4638" s="5">
        <v>0</v>
      </c>
      <c r="D4638" s="6">
        <v>0</v>
      </c>
      <c r="E4638" s="7">
        <f t="shared" si="72"/>
        <v>0</v>
      </c>
      <c r="F4638" s="9" t="s">
        <v>8</v>
      </c>
    </row>
    <row r="4639" spans="1:6" ht="18" customHeight="1">
      <c r="A4639" s="4" t="s">
        <v>151</v>
      </c>
      <c r="B4639" s="4" t="str">
        <f>"2020020208"</f>
        <v>2020020208</v>
      </c>
      <c r="C4639" s="5">
        <v>0</v>
      </c>
      <c r="D4639" s="6">
        <v>0</v>
      </c>
      <c r="E4639" s="7">
        <f t="shared" si="72"/>
        <v>0</v>
      </c>
      <c r="F4639" s="8" t="s">
        <v>8</v>
      </c>
    </row>
    <row r="4640" spans="1:6" ht="18" customHeight="1">
      <c r="A4640" s="4" t="s">
        <v>151</v>
      </c>
      <c r="B4640" s="4" t="str">
        <f>"2020023516"</f>
        <v>2020023516</v>
      </c>
      <c r="C4640" s="5">
        <v>0</v>
      </c>
      <c r="D4640" s="6">
        <v>0</v>
      </c>
      <c r="E4640" s="7">
        <f t="shared" si="72"/>
        <v>0</v>
      </c>
      <c r="F4640" s="8" t="s">
        <v>8</v>
      </c>
    </row>
    <row r="4641" spans="1:6" ht="18" customHeight="1">
      <c r="A4641" s="4" t="s">
        <v>151</v>
      </c>
      <c r="B4641" s="4" t="str">
        <f>"2020041115"</f>
        <v>2020041115</v>
      </c>
      <c r="C4641" s="5">
        <v>0</v>
      </c>
      <c r="D4641" s="6">
        <v>0</v>
      </c>
      <c r="E4641" s="7">
        <f t="shared" si="72"/>
        <v>0</v>
      </c>
      <c r="F4641" s="8" t="s">
        <v>8</v>
      </c>
    </row>
    <row r="4642" spans="1:6" ht="18" customHeight="1">
      <c r="A4642" s="4" t="s">
        <v>152</v>
      </c>
      <c r="B4642" s="4" t="str">
        <f>"2020032430"</f>
        <v>2020032430</v>
      </c>
      <c r="C4642" s="5">
        <v>68.3</v>
      </c>
      <c r="D4642" s="6">
        <v>77</v>
      </c>
      <c r="E4642" s="7">
        <f t="shared" si="72"/>
        <v>145.30000000000001</v>
      </c>
      <c r="F4642" s="8"/>
    </row>
    <row r="4643" spans="1:6" ht="18" customHeight="1">
      <c r="A4643" s="4" t="s">
        <v>152</v>
      </c>
      <c r="B4643" s="4" t="str">
        <f>"2020020820"</f>
        <v>2020020820</v>
      </c>
      <c r="C4643" s="5">
        <v>76.7</v>
      </c>
      <c r="D4643" s="6">
        <v>68</v>
      </c>
      <c r="E4643" s="7">
        <f t="shared" si="72"/>
        <v>144.69999999999999</v>
      </c>
      <c r="F4643" s="8"/>
    </row>
    <row r="4644" spans="1:6" ht="18" customHeight="1">
      <c r="A4644" s="4" t="s">
        <v>152</v>
      </c>
      <c r="B4644" s="4" t="str">
        <f>"2020022903"</f>
        <v>2020022903</v>
      </c>
      <c r="C4644" s="5">
        <v>73.900000000000006</v>
      </c>
      <c r="D4644" s="6">
        <v>66.5</v>
      </c>
      <c r="E4644" s="7">
        <f t="shared" si="72"/>
        <v>140.4</v>
      </c>
      <c r="F4644" s="8"/>
    </row>
    <row r="4645" spans="1:6" ht="18" customHeight="1">
      <c r="A4645" s="4" t="s">
        <v>152</v>
      </c>
      <c r="B4645" s="4" t="str">
        <f>"2020014001"</f>
        <v>2020014001</v>
      </c>
      <c r="C4645" s="5">
        <v>55.7</v>
      </c>
      <c r="D4645" s="6">
        <v>66.5</v>
      </c>
      <c r="E4645" s="7">
        <f t="shared" si="72"/>
        <v>122.2</v>
      </c>
      <c r="F4645" s="8"/>
    </row>
    <row r="4646" spans="1:6" ht="18" customHeight="1">
      <c r="A4646" s="4" t="s">
        <v>152</v>
      </c>
      <c r="B4646" s="4" t="str">
        <f>"2020021903"</f>
        <v>2020021903</v>
      </c>
      <c r="C4646" s="5">
        <v>0</v>
      </c>
      <c r="D4646" s="6">
        <v>0</v>
      </c>
      <c r="E4646" s="7">
        <f t="shared" si="72"/>
        <v>0</v>
      </c>
      <c r="F4646" s="8" t="s">
        <v>8</v>
      </c>
    </row>
    <row r="4647" spans="1:6" ht="18" customHeight="1">
      <c r="A4647" s="4" t="s">
        <v>152</v>
      </c>
      <c r="B4647" s="4" t="str">
        <f>"2020032311"</f>
        <v>2020032311</v>
      </c>
      <c r="C4647" s="5">
        <v>0</v>
      </c>
      <c r="D4647" s="6">
        <v>0</v>
      </c>
      <c r="E4647" s="7">
        <f t="shared" si="72"/>
        <v>0</v>
      </c>
      <c r="F4647" s="8" t="s">
        <v>8</v>
      </c>
    </row>
    <row r="4648" spans="1:6" ht="18" customHeight="1">
      <c r="A4648" s="4" t="s">
        <v>152</v>
      </c>
      <c r="B4648" s="4" t="str">
        <f>"2020033115"</f>
        <v>2020033115</v>
      </c>
      <c r="C4648" s="5">
        <v>0</v>
      </c>
      <c r="D4648" s="6">
        <v>0</v>
      </c>
      <c r="E4648" s="7">
        <f t="shared" si="72"/>
        <v>0</v>
      </c>
      <c r="F4648" s="8" t="s">
        <v>8</v>
      </c>
    </row>
    <row r="4649" spans="1:6" ht="18" customHeight="1">
      <c r="A4649" s="4" t="s">
        <v>152</v>
      </c>
      <c r="B4649" s="4" t="str">
        <f>"2020046625"</f>
        <v>2020046625</v>
      </c>
      <c r="C4649" s="5">
        <v>0</v>
      </c>
      <c r="D4649" s="6">
        <v>0</v>
      </c>
      <c r="E4649" s="7">
        <f t="shared" si="72"/>
        <v>0</v>
      </c>
      <c r="F4649" s="8" t="s">
        <v>8</v>
      </c>
    </row>
    <row r="4650" spans="1:6" ht="18" customHeight="1">
      <c r="A4650" s="4" t="s">
        <v>153</v>
      </c>
      <c r="B4650" s="4" t="str">
        <f>"2020044914"</f>
        <v>2020044914</v>
      </c>
      <c r="C4650" s="5">
        <v>68.900000000000006</v>
      </c>
      <c r="D4650" s="6">
        <v>75</v>
      </c>
      <c r="E4650" s="7">
        <f t="shared" si="72"/>
        <v>143.9</v>
      </c>
      <c r="F4650" s="8"/>
    </row>
    <row r="4651" spans="1:6" ht="18" customHeight="1">
      <c r="A4651" s="4" t="s">
        <v>153</v>
      </c>
      <c r="B4651" s="4" t="str">
        <f>"2020045126"</f>
        <v>2020045126</v>
      </c>
      <c r="C4651" s="5">
        <v>68.7</v>
      </c>
      <c r="D4651" s="6">
        <v>58.5</v>
      </c>
      <c r="E4651" s="7">
        <f t="shared" si="72"/>
        <v>127.2</v>
      </c>
      <c r="F4651" s="8"/>
    </row>
    <row r="4652" spans="1:6" ht="18" customHeight="1">
      <c r="A4652" s="4" t="s">
        <v>153</v>
      </c>
      <c r="B4652" s="4" t="str">
        <f>"2020032315"</f>
        <v>2020032315</v>
      </c>
      <c r="C4652" s="5">
        <v>67.7</v>
      </c>
      <c r="D4652" s="6">
        <v>58</v>
      </c>
      <c r="E4652" s="7">
        <f t="shared" si="72"/>
        <v>125.7</v>
      </c>
      <c r="F4652" s="8"/>
    </row>
    <row r="4653" spans="1:6" ht="18" customHeight="1">
      <c r="A4653" s="4" t="s">
        <v>153</v>
      </c>
      <c r="B4653" s="4" t="str">
        <f>"2020021715"</f>
        <v>2020021715</v>
      </c>
      <c r="C4653" s="5">
        <v>0</v>
      </c>
      <c r="D4653" s="6">
        <v>0</v>
      </c>
      <c r="E4653" s="7">
        <f t="shared" si="72"/>
        <v>0</v>
      </c>
      <c r="F4653" s="8" t="s">
        <v>8</v>
      </c>
    </row>
    <row r="4654" spans="1:6" ht="18" customHeight="1">
      <c r="A4654" s="4" t="s">
        <v>153</v>
      </c>
      <c r="B4654" s="4" t="str">
        <f>"2020031516"</f>
        <v>2020031516</v>
      </c>
      <c r="C4654" s="5">
        <v>0</v>
      </c>
      <c r="D4654" s="6">
        <v>0</v>
      </c>
      <c r="E4654" s="7">
        <f t="shared" si="72"/>
        <v>0</v>
      </c>
      <c r="F4654" s="8" t="s">
        <v>8</v>
      </c>
    </row>
    <row r="4655" spans="1:6" ht="18" customHeight="1">
      <c r="A4655" s="4" t="s">
        <v>153</v>
      </c>
      <c r="B4655" s="4" t="str">
        <f>"2020034020"</f>
        <v>2020034020</v>
      </c>
      <c r="C4655" s="5">
        <v>0</v>
      </c>
      <c r="D4655" s="6">
        <v>0</v>
      </c>
      <c r="E4655" s="7">
        <f t="shared" si="72"/>
        <v>0</v>
      </c>
      <c r="F4655" s="8" t="s">
        <v>8</v>
      </c>
    </row>
    <row r="4656" spans="1:6" ht="18" customHeight="1">
      <c r="A4656" s="4" t="s">
        <v>154</v>
      </c>
      <c r="B4656" s="4" t="str">
        <f>"2020041801"</f>
        <v>2020041801</v>
      </c>
      <c r="C4656" s="5">
        <v>72.7</v>
      </c>
      <c r="D4656" s="6">
        <v>71</v>
      </c>
      <c r="E4656" s="7">
        <f t="shared" si="72"/>
        <v>143.69999999999999</v>
      </c>
      <c r="F4656" s="8"/>
    </row>
    <row r="4657" spans="1:6" ht="18" customHeight="1">
      <c r="A4657" s="4" t="s">
        <v>154</v>
      </c>
      <c r="B4657" s="4" t="str">
        <f>"2020045219"</f>
        <v>2020045219</v>
      </c>
      <c r="C4657" s="5">
        <v>64.7</v>
      </c>
      <c r="D4657" s="6">
        <v>76.5</v>
      </c>
      <c r="E4657" s="7">
        <f t="shared" si="72"/>
        <v>141.19999999999999</v>
      </c>
      <c r="F4657" s="8"/>
    </row>
    <row r="4658" spans="1:6" ht="18" customHeight="1">
      <c r="A4658" s="4" t="s">
        <v>154</v>
      </c>
      <c r="B4658" s="4" t="str">
        <f>"2020046623"</f>
        <v>2020046623</v>
      </c>
      <c r="C4658" s="5">
        <v>59.5</v>
      </c>
      <c r="D4658" s="6">
        <v>79</v>
      </c>
      <c r="E4658" s="7">
        <f t="shared" si="72"/>
        <v>138.5</v>
      </c>
      <c r="F4658" s="8"/>
    </row>
    <row r="4659" spans="1:6" ht="18" customHeight="1">
      <c r="A4659" s="4" t="s">
        <v>154</v>
      </c>
      <c r="B4659" s="4" t="str">
        <f>"2020041005"</f>
        <v>2020041005</v>
      </c>
      <c r="C4659" s="5">
        <v>66.400000000000006</v>
      </c>
      <c r="D4659" s="6">
        <v>66.5</v>
      </c>
      <c r="E4659" s="7">
        <f t="shared" si="72"/>
        <v>132.9</v>
      </c>
      <c r="F4659" s="8"/>
    </row>
    <row r="4660" spans="1:6" ht="18" customHeight="1">
      <c r="A4660" s="4" t="s">
        <v>154</v>
      </c>
      <c r="B4660" s="4" t="str">
        <f>"2020045720"</f>
        <v>2020045720</v>
      </c>
      <c r="C4660" s="5">
        <v>65.400000000000006</v>
      </c>
      <c r="D4660" s="6">
        <v>65.5</v>
      </c>
      <c r="E4660" s="7">
        <f t="shared" si="72"/>
        <v>130.9</v>
      </c>
      <c r="F4660" s="8"/>
    </row>
    <row r="4661" spans="1:6" ht="18" customHeight="1">
      <c r="A4661" s="4" t="s">
        <v>154</v>
      </c>
      <c r="B4661" s="4" t="str">
        <f>"2020022722"</f>
        <v>2020022722</v>
      </c>
      <c r="C4661" s="5">
        <v>61.7</v>
      </c>
      <c r="D4661" s="6">
        <v>68.5</v>
      </c>
      <c r="E4661" s="7">
        <f t="shared" si="72"/>
        <v>130.19999999999999</v>
      </c>
      <c r="F4661" s="8"/>
    </row>
    <row r="4662" spans="1:6" ht="18" customHeight="1">
      <c r="A4662" s="4" t="s">
        <v>154</v>
      </c>
      <c r="B4662" s="4" t="str">
        <f>"2020012528"</f>
        <v>2020012528</v>
      </c>
      <c r="C4662" s="5">
        <v>67.5</v>
      </c>
      <c r="D4662" s="6">
        <v>61.5</v>
      </c>
      <c r="E4662" s="7">
        <f t="shared" si="72"/>
        <v>129</v>
      </c>
      <c r="F4662" s="8"/>
    </row>
    <row r="4663" spans="1:6" ht="18" customHeight="1">
      <c r="A4663" s="4" t="s">
        <v>154</v>
      </c>
      <c r="B4663" s="4" t="str">
        <f>"2020045725"</f>
        <v>2020045725</v>
      </c>
      <c r="C4663" s="5">
        <v>64</v>
      </c>
      <c r="D4663" s="6">
        <v>55</v>
      </c>
      <c r="E4663" s="7">
        <f t="shared" si="72"/>
        <v>119</v>
      </c>
      <c r="F4663" s="8"/>
    </row>
    <row r="4664" spans="1:6" ht="18" customHeight="1">
      <c r="A4664" s="4" t="s">
        <v>154</v>
      </c>
      <c r="B4664" s="4" t="str">
        <f>"2020012117"</f>
        <v>2020012117</v>
      </c>
      <c r="C4664" s="5">
        <v>0</v>
      </c>
      <c r="D4664" s="6">
        <v>0</v>
      </c>
      <c r="E4664" s="7">
        <f t="shared" si="72"/>
        <v>0</v>
      </c>
      <c r="F4664" s="9" t="s">
        <v>8</v>
      </c>
    </row>
    <row r="4665" spans="1:6" ht="18" customHeight="1">
      <c r="A4665" s="4" t="s">
        <v>154</v>
      </c>
      <c r="B4665" s="4" t="str">
        <f>"2020033029"</f>
        <v>2020033029</v>
      </c>
      <c r="C4665" s="5">
        <v>0</v>
      </c>
      <c r="D4665" s="6">
        <v>0</v>
      </c>
      <c r="E4665" s="7">
        <f t="shared" si="72"/>
        <v>0</v>
      </c>
      <c r="F4665" s="8" t="s">
        <v>8</v>
      </c>
    </row>
    <row r="4666" spans="1:6" ht="18" customHeight="1">
      <c r="A4666" s="4" t="s">
        <v>154</v>
      </c>
      <c r="B4666" s="4" t="str">
        <f>"2020044301"</f>
        <v>2020044301</v>
      </c>
      <c r="C4666" s="5">
        <v>0</v>
      </c>
      <c r="D4666" s="6">
        <v>0</v>
      </c>
      <c r="E4666" s="7">
        <f t="shared" si="72"/>
        <v>0</v>
      </c>
      <c r="F4666" s="8" t="s">
        <v>8</v>
      </c>
    </row>
    <row r="4667" spans="1:6" ht="18" customHeight="1">
      <c r="A4667" s="4" t="s">
        <v>155</v>
      </c>
      <c r="B4667" s="4" t="str">
        <f>"2020041514"</f>
        <v>2020041514</v>
      </c>
      <c r="C4667" s="5">
        <v>73.3</v>
      </c>
      <c r="D4667" s="6">
        <v>84.5</v>
      </c>
      <c r="E4667" s="7">
        <f t="shared" si="72"/>
        <v>157.80000000000001</v>
      </c>
      <c r="F4667" s="8"/>
    </row>
    <row r="4668" spans="1:6" ht="18" customHeight="1">
      <c r="A4668" s="4" t="s">
        <v>155</v>
      </c>
      <c r="B4668" s="4" t="str">
        <f>"2020024116"</f>
        <v>2020024116</v>
      </c>
      <c r="C4668" s="5">
        <v>74.400000000000006</v>
      </c>
      <c r="D4668" s="6">
        <v>81.5</v>
      </c>
      <c r="E4668" s="7">
        <f t="shared" si="72"/>
        <v>155.9</v>
      </c>
      <c r="F4668" s="8"/>
    </row>
    <row r="4669" spans="1:6" ht="18" customHeight="1">
      <c r="A4669" s="4" t="s">
        <v>155</v>
      </c>
      <c r="B4669" s="4" t="str">
        <f>"2020047412"</f>
        <v>2020047412</v>
      </c>
      <c r="C4669" s="5">
        <v>79.599999999999994</v>
      </c>
      <c r="D4669" s="6">
        <v>71</v>
      </c>
      <c r="E4669" s="7">
        <f t="shared" si="72"/>
        <v>150.6</v>
      </c>
      <c r="F4669" s="8"/>
    </row>
    <row r="4670" spans="1:6" ht="18" customHeight="1">
      <c r="A4670" s="4" t="s">
        <v>155</v>
      </c>
      <c r="B4670" s="4" t="str">
        <f>"2020011409"</f>
        <v>2020011409</v>
      </c>
      <c r="C4670" s="5">
        <v>73.7</v>
      </c>
      <c r="D4670" s="6">
        <v>75.5</v>
      </c>
      <c r="E4670" s="7">
        <f t="shared" si="72"/>
        <v>149.19999999999999</v>
      </c>
      <c r="F4670" s="8"/>
    </row>
    <row r="4671" spans="1:6" ht="18" customHeight="1">
      <c r="A4671" s="4" t="s">
        <v>155</v>
      </c>
      <c r="B4671" s="4" t="str">
        <f>"2020020419"</f>
        <v>2020020419</v>
      </c>
      <c r="C4671" s="5">
        <v>70.900000000000006</v>
      </c>
      <c r="D4671" s="6">
        <v>76</v>
      </c>
      <c r="E4671" s="7">
        <f t="shared" si="72"/>
        <v>146.9</v>
      </c>
      <c r="F4671" s="8"/>
    </row>
    <row r="4672" spans="1:6" ht="18" customHeight="1">
      <c r="A4672" s="4" t="s">
        <v>155</v>
      </c>
      <c r="B4672" s="4" t="str">
        <f>"2020011901"</f>
        <v>2020011901</v>
      </c>
      <c r="C4672" s="5">
        <v>67.400000000000006</v>
      </c>
      <c r="D4672" s="6">
        <v>79.5</v>
      </c>
      <c r="E4672" s="7">
        <f t="shared" si="72"/>
        <v>146.9</v>
      </c>
      <c r="F4672" s="8"/>
    </row>
    <row r="4673" spans="1:6" ht="18" customHeight="1">
      <c r="A4673" s="4" t="s">
        <v>155</v>
      </c>
      <c r="B4673" s="4" t="str">
        <f>"2020021108"</f>
        <v>2020021108</v>
      </c>
      <c r="C4673" s="5">
        <v>71</v>
      </c>
      <c r="D4673" s="6">
        <v>75</v>
      </c>
      <c r="E4673" s="7">
        <f t="shared" si="72"/>
        <v>146</v>
      </c>
      <c r="F4673" s="8"/>
    </row>
    <row r="4674" spans="1:6" ht="18" customHeight="1">
      <c r="A4674" s="4" t="s">
        <v>155</v>
      </c>
      <c r="B4674" s="4" t="str">
        <f>"2020032514"</f>
        <v>2020032514</v>
      </c>
      <c r="C4674" s="5">
        <v>69.3</v>
      </c>
      <c r="D4674" s="6">
        <v>73</v>
      </c>
      <c r="E4674" s="7">
        <f t="shared" si="72"/>
        <v>142.30000000000001</v>
      </c>
      <c r="F4674" s="8"/>
    </row>
    <row r="4675" spans="1:6" ht="18" customHeight="1">
      <c r="A4675" s="4" t="s">
        <v>155</v>
      </c>
      <c r="B4675" s="4" t="str">
        <f>"2020022603"</f>
        <v>2020022603</v>
      </c>
      <c r="C4675" s="5">
        <v>62.3</v>
      </c>
      <c r="D4675" s="6">
        <v>78.5</v>
      </c>
      <c r="E4675" s="7">
        <f t="shared" ref="E4675:E4738" si="73">SUM(C4675:D4675)</f>
        <v>140.80000000000001</v>
      </c>
      <c r="F4675" s="8"/>
    </row>
    <row r="4676" spans="1:6" ht="18" customHeight="1">
      <c r="A4676" s="4" t="s">
        <v>155</v>
      </c>
      <c r="B4676" s="4" t="str">
        <f>"2020023602"</f>
        <v>2020023602</v>
      </c>
      <c r="C4676" s="5">
        <v>68.7</v>
      </c>
      <c r="D4676" s="6">
        <v>71.5</v>
      </c>
      <c r="E4676" s="7">
        <f t="shared" si="73"/>
        <v>140.19999999999999</v>
      </c>
      <c r="F4676" s="8"/>
    </row>
    <row r="4677" spans="1:6" ht="18" customHeight="1">
      <c r="A4677" s="4" t="s">
        <v>155</v>
      </c>
      <c r="B4677" s="4" t="str">
        <f>"2020022303"</f>
        <v>2020022303</v>
      </c>
      <c r="C4677" s="5">
        <v>66.3</v>
      </c>
      <c r="D4677" s="6">
        <v>72.5</v>
      </c>
      <c r="E4677" s="7">
        <f t="shared" si="73"/>
        <v>138.80000000000001</v>
      </c>
      <c r="F4677" s="8"/>
    </row>
    <row r="4678" spans="1:6" ht="18" customHeight="1">
      <c r="A4678" s="4" t="s">
        <v>155</v>
      </c>
      <c r="B4678" s="4" t="str">
        <f>"2020021607"</f>
        <v>2020021607</v>
      </c>
      <c r="C4678" s="5">
        <v>70</v>
      </c>
      <c r="D4678" s="6">
        <v>68.5</v>
      </c>
      <c r="E4678" s="7">
        <f t="shared" si="73"/>
        <v>138.5</v>
      </c>
      <c r="F4678" s="8"/>
    </row>
    <row r="4679" spans="1:6" ht="18" customHeight="1">
      <c r="A4679" s="4" t="s">
        <v>155</v>
      </c>
      <c r="B4679" s="4" t="str">
        <f>"2020023111"</f>
        <v>2020023111</v>
      </c>
      <c r="C4679" s="5">
        <v>63.2</v>
      </c>
      <c r="D4679" s="6">
        <v>75</v>
      </c>
      <c r="E4679" s="7">
        <f t="shared" si="73"/>
        <v>138.19999999999999</v>
      </c>
      <c r="F4679" s="8"/>
    </row>
    <row r="4680" spans="1:6" ht="18" customHeight="1">
      <c r="A4680" s="4" t="s">
        <v>155</v>
      </c>
      <c r="B4680" s="4" t="str">
        <f>"2020046409"</f>
        <v>2020046409</v>
      </c>
      <c r="C4680" s="5">
        <v>67.7</v>
      </c>
      <c r="D4680" s="6">
        <v>67.5</v>
      </c>
      <c r="E4680" s="7">
        <f t="shared" si="73"/>
        <v>135.19999999999999</v>
      </c>
      <c r="F4680" s="8"/>
    </row>
    <row r="4681" spans="1:6" ht="18" customHeight="1">
      <c r="A4681" s="4" t="s">
        <v>155</v>
      </c>
      <c r="B4681" s="4" t="str">
        <f>"2020030106"</f>
        <v>2020030106</v>
      </c>
      <c r="C4681" s="5">
        <v>66.2</v>
      </c>
      <c r="D4681" s="6">
        <v>68.5</v>
      </c>
      <c r="E4681" s="7">
        <f t="shared" si="73"/>
        <v>134.69999999999999</v>
      </c>
      <c r="F4681" s="8"/>
    </row>
    <row r="4682" spans="1:6" ht="18" customHeight="1">
      <c r="A4682" s="4" t="s">
        <v>155</v>
      </c>
      <c r="B4682" s="4" t="str">
        <f>"2020012328"</f>
        <v>2020012328</v>
      </c>
      <c r="C4682" s="5">
        <v>65.099999999999994</v>
      </c>
      <c r="D4682" s="6">
        <v>69.5</v>
      </c>
      <c r="E4682" s="7">
        <f t="shared" si="73"/>
        <v>134.6</v>
      </c>
      <c r="F4682" s="8"/>
    </row>
    <row r="4683" spans="1:6" ht="18" customHeight="1">
      <c r="A4683" s="4" t="s">
        <v>155</v>
      </c>
      <c r="B4683" s="4" t="str">
        <f>"2020011904"</f>
        <v>2020011904</v>
      </c>
      <c r="C4683" s="5">
        <v>61.1</v>
      </c>
      <c r="D4683" s="6">
        <v>73</v>
      </c>
      <c r="E4683" s="7">
        <f t="shared" si="73"/>
        <v>134.1</v>
      </c>
      <c r="F4683" s="8"/>
    </row>
    <row r="4684" spans="1:6" ht="18" customHeight="1">
      <c r="A4684" s="4" t="s">
        <v>155</v>
      </c>
      <c r="B4684" s="4" t="str">
        <f>"2020046610"</f>
        <v>2020046610</v>
      </c>
      <c r="C4684" s="5">
        <v>62.9</v>
      </c>
      <c r="D4684" s="6">
        <v>68.5</v>
      </c>
      <c r="E4684" s="7">
        <f t="shared" si="73"/>
        <v>131.4</v>
      </c>
      <c r="F4684" s="8"/>
    </row>
    <row r="4685" spans="1:6" ht="18" customHeight="1">
      <c r="A4685" s="4" t="s">
        <v>155</v>
      </c>
      <c r="B4685" s="4" t="str">
        <f>"2020034017"</f>
        <v>2020034017</v>
      </c>
      <c r="C4685" s="5">
        <v>63.5</v>
      </c>
      <c r="D4685" s="6">
        <v>67</v>
      </c>
      <c r="E4685" s="7">
        <f t="shared" si="73"/>
        <v>130.5</v>
      </c>
      <c r="F4685" s="8"/>
    </row>
    <row r="4686" spans="1:6" ht="18" customHeight="1">
      <c r="A4686" s="4" t="s">
        <v>155</v>
      </c>
      <c r="B4686" s="4" t="str">
        <f>"2020020927"</f>
        <v>2020020927</v>
      </c>
      <c r="C4686" s="5">
        <v>58.3</v>
      </c>
      <c r="D4686" s="6">
        <v>71.5</v>
      </c>
      <c r="E4686" s="7">
        <f t="shared" si="73"/>
        <v>129.80000000000001</v>
      </c>
      <c r="F4686" s="8"/>
    </row>
    <row r="4687" spans="1:6" ht="18" customHeight="1">
      <c r="A4687" s="4" t="s">
        <v>155</v>
      </c>
      <c r="B4687" s="4" t="str">
        <f>"2020047117"</f>
        <v>2020047117</v>
      </c>
      <c r="C4687" s="5">
        <v>63.9</v>
      </c>
      <c r="D4687" s="6">
        <v>65.5</v>
      </c>
      <c r="E4687" s="7">
        <f t="shared" si="73"/>
        <v>129.4</v>
      </c>
      <c r="F4687" s="8"/>
    </row>
    <row r="4688" spans="1:6" ht="18" customHeight="1">
      <c r="A4688" s="4" t="s">
        <v>155</v>
      </c>
      <c r="B4688" s="4" t="str">
        <f>"2020040820"</f>
        <v>2020040820</v>
      </c>
      <c r="C4688" s="5">
        <v>57.4</v>
      </c>
      <c r="D4688" s="6">
        <v>71.5</v>
      </c>
      <c r="E4688" s="7">
        <f t="shared" si="73"/>
        <v>128.9</v>
      </c>
      <c r="F4688" s="8"/>
    </row>
    <row r="4689" spans="1:6" ht="18" customHeight="1">
      <c r="A4689" s="4" t="s">
        <v>155</v>
      </c>
      <c r="B4689" s="4" t="str">
        <f>"2020013814"</f>
        <v>2020013814</v>
      </c>
      <c r="C4689" s="5">
        <v>63.1</v>
      </c>
      <c r="D4689" s="6">
        <v>65.5</v>
      </c>
      <c r="E4689" s="7">
        <f t="shared" si="73"/>
        <v>128.6</v>
      </c>
      <c r="F4689" s="8"/>
    </row>
    <row r="4690" spans="1:6" ht="18" customHeight="1">
      <c r="A4690" s="4" t="s">
        <v>155</v>
      </c>
      <c r="B4690" s="4" t="str">
        <f>"2020030907"</f>
        <v>2020030907</v>
      </c>
      <c r="C4690" s="5">
        <v>62.3</v>
      </c>
      <c r="D4690" s="6">
        <v>64</v>
      </c>
      <c r="E4690" s="7">
        <f t="shared" si="73"/>
        <v>126.3</v>
      </c>
      <c r="F4690" s="8"/>
    </row>
    <row r="4691" spans="1:6" ht="18" customHeight="1">
      <c r="A4691" s="4" t="s">
        <v>155</v>
      </c>
      <c r="B4691" s="4" t="str">
        <f>"2020031528"</f>
        <v>2020031528</v>
      </c>
      <c r="C4691" s="5">
        <v>66.2</v>
      </c>
      <c r="D4691" s="6">
        <v>60</v>
      </c>
      <c r="E4691" s="7">
        <f t="shared" si="73"/>
        <v>126.2</v>
      </c>
      <c r="F4691" s="8"/>
    </row>
    <row r="4692" spans="1:6" ht="18" customHeight="1">
      <c r="A4692" s="4" t="s">
        <v>155</v>
      </c>
      <c r="B4692" s="4" t="str">
        <f>"2020012102"</f>
        <v>2020012102</v>
      </c>
      <c r="C4692" s="5">
        <v>58.4</v>
      </c>
      <c r="D4692" s="6">
        <v>65.5</v>
      </c>
      <c r="E4692" s="7">
        <f t="shared" si="73"/>
        <v>123.9</v>
      </c>
      <c r="F4692" s="8"/>
    </row>
    <row r="4693" spans="1:6" ht="18" customHeight="1">
      <c r="A4693" s="4" t="s">
        <v>155</v>
      </c>
      <c r="B4693" s="4" t="str">
        <f>"2020021211"</f>
        <v>2020021211</v>
      </c>
      <c r="C4693" s="5">
        <v>63.2</v>
      </c>
      <c r="D4693" s="6">
        <v>59.5</v>
      </c>
      <c r="E4693" s="7">
        <f t="shared" si="73"/>
        <v>122.7</v>
      </c>
      <c r="F4693" s="8"/>
    </row>
    <row r="4694" spans="1:6" ht="18" customHeight="1">
      <c r="A4694" s="4" t="s">
        <v>155</v>
      </c>
      <c r="B4694" s="4" t="str">
        <f>"2020031723"</f>
        <v>2020031723</v>
      </c>
      <c r="C4694" s="5">
        <v>63.3</v>
      </c>
      <c r="D4694" s="6">
        <v>59</v>
      </c>
      <c r="E4694" s="7">
        <f t="shared" si="73"/>
        <v>122.3</v>
      </c>
      <c r="F4694" s="8"/>
    </row>
    <row r="4695" spans="1:6" ht="18" customHeight="1">
      <c r="A4695" s="4" t="s">
        <v>155</v>
      </c>
      <c r="B4695" s="4" t="str">
        <f>"2020041011"</f>
        <v>2020041011</v>
      </c>
      <c r="C4695" s="5">
        <v>59.5</v>
      </c>
      <c r="D4695" s="6">
        <v>61.5</v>
      </c>
      <c r="E4695" s="7">
        <f t="shared" si="73"/>
        <v>121</v>
      </c>
      <c r="F4695" s="8"/>
    </row>
    <row r="4696" spans="1:6" ht="18" customHeight="1">
      <c r="A4696" s="4" t="s">
        <v>155</v>
      </c>
      <c r="B4696" s="4" t="str">
        <f>"2020042312"</f>
        <v>2020042312</v>
      </c>
      <c r="C4696" s="5">
        <v>60.4</v>
      </c>
      <c r="D4696" s="6">
        <v>56.5</v>
      </c>
      <c r="E4696" s="7">
        <f t="shared" si="73"/>
        <v>116.9</v>
      </c>
      <c r="F4696" s="8"/>
    </row>
    <row r="4697" spans="1:6" ht="18" customHeight="1">
      <c r="A4697" s="4" t="s">
        <v>155</v>
      </c>
      <c r="B4697" s="4" t="str">
        <f>"2020041618"</f>
        <v>2020041618</v>
      </c>
      <c r="C4697" s="5">
        <v>50.2</v>
      </c>
      <c r="D4697" s="6">
        <v>57</v>
      </c>
      <c r="E4697" s="7">
        <f t="shared" si="73"/>
        <v>107.2</v>
      </c>
      <c r="F4697" s="8"/>
    </row>
    <row r="4698" spans="1:6" ht="18" customHeight="1">
      <c r="A4698" s="4" t="s">
        <v>155</v>
      </c>
      <c r="B4698" s="4" t="str">
        <f>"2020045204"</f>
        <v>2020045204</v>
      </c>
      <c r="C4698" s="5">
        <v>62.9</v>
      </c>
      <c r="D4698" s="6">
        <v>43.5</v>
      </c>
      <c r="E4698" s="7">
        <f t="shared" si="73"/>
        <v>106.4</v>
      </c>
      <c r="F4698" s="8"/>
    </row>
    <row r="4699" spans="1:6" ht="18" customHeight="1">
      <c r="A4699" s="4" t="s">
        <v>155</v>
      </c>
      <c r="B4699" s="4" t="str">
        <f>"2020010103"</f>
        <v>2020010103</v>
      </c>
      <c r="C4699" s="5">
        <v>0</v>
      </c>
      <c r="D4699" s="6">
        <v>0</v>
      </c>
      <c r="E4699" s="7">
        <f t="shared" si="73"/>
        <v>0</v>
      </c>
      <c r="F4699" s="9" t="s">
        <v>8</v>
      </c>
    </row>
    <row r="4700" spans="1:6" ht="18" customHeight="1">
      <c r="A4700" s="4" t="s">
        <v>155</v>
      </c>
      <c r="B4700" s="4" t="str">
        <f>"2020010920"</f>
        <v>2020010920</v>
      </c>
      <c r="C4700" s="5">
        <v>0</v>
      </c>
      <c r="D4700" s="6">
        <v>0</v>
      </c>
      <c r="E4700" s="7">
        <f t="shared" si="73"/>
        <v>0</v>
      </c>
      <c r="F4700" s="9" t="s">
        <v>8</v>
      </c>
    </row>
    <row r="4701" spans="1:6" ht="18" customHeight="1">
      <c r="A4701" s="4" t="s">
        <v>155</v>
      </c>
      <c r="B4701" s="4" t="str">
        <f>"2020012327"</f>
        <v>2020012327</v>
      </c>
      <c r="C4701" s="5">
        <v>0</v>
      </c>
      <c r="D4701" s="6">
        <v>0</v>
      </c>
      <c r="E4701" s="7">
        <f t="shared" si="73"/>
        <v>0</v>
      </c>
      <c r="F4701" s="9" t="s">
        <v>8</v>
      </c>
    </row>
    <row r="4702" spans="1:6" ht="18" customHeight="1">
      <c r="A4702" s="4" t="s">
        <v>155</v>
      </c>
      <c r="B4702" s="4" t="str">
        <f>"2020013212"</f>
        <v>2020013212</v>
      </c>
      <c r="C4702" s="5">
        <v>0</v>
      </c>
      <c r="D4702" s="6">
        <v>0</v>
      </c>
      <c r="E4702" s="7">
        <f t="shared" si="73"/>
        <v>0</v>
      </c>
      <c r="F4702" s="9" t="s">
        <v>8</v>
      </c>
    </row>
    <row r="4703" spans="1:6" ht="18" customHeight="1">
      <c r="A4703" s="4" t="s">
        <v>155</v>
      </c>
      <c r="B4703" s="4" t="str">
        <f>"2020014004"</f>
        <v>2020014004</v>
      </c>
      <c r="C4703" s="5">
        <v>0</v>
      </c>
      <c r="D4703" s="6">
        <v>0</v>
      </c>
      <c r="E4703" s="7">
        <f t="shared" si="73"/>
        <v>0</v>
      </c>
      <c r="F4703" s="9" t="s">
        <v>8</v>
      </c>
    </row>
    <row r="4704" spans="1:6" ht="18" customHeight="1">
      <c r="A4704" s="4" t="s">
        <v>155</v>
      </c>
      <c r="B4704" s="4" t="str">
        <f>"2020020520"</f>
        <v>2020020520</v>
      </c>
      <c r="C4704" s="5">
        <v>0</v>
      </c>
      <c r="D4704" s="6">
        <v>0</v>
      </c>
      <c r="E4704" s="7">
        <f t="shared" si="73"/>
        <v>0</v>
      </c>
      <c r="F4704" s="8" t="s">
        <v>8</v>
      </c>
    </row>
    <row r="4705" spans="1:6" ht="18" customHeight="1">
      <c r="A4705" s="4" t="s">
        <v>155</v>
      </c>
      <c r="B4705" s="4" t="str">
        <f>"2020021922"</f>
        <v>2020021922</v>
      </c>
      <c r="C4705" s="5">
        <v>0</v>
      </c>
      <c r="D4705" s="6">
        <v>0</v>
      </c>
      <c r="E4705" s="7">
        <f t="shared" si="73"/>
        <v>0</v>
      </c>
      <c r="F4705" s="8" t="s">
        <v>8</v>
      </c>
    </row>
    <row r="4706" spans="1:6" ht="18" customHeight="1">
      <c r="A4706" s="4" t="s">
        <v>155</v>
      </c>
      <c r="B4706" s="4" t="str">
        <f>"2020022124"</f>
        <v>2020022124</v>
      </c>
      <c r="C4706" s="5">
        <v>0</v>
      </c>
      <c r="D4706" s="6">
        <v>0</v>
      </c>
      <c r="E4706" s="7">
        <f t="shared" si="73"/>
        <v>0</v>
      </c>
      <c r="F4706" s="8" t="s">
        <v>8</v>
      </c>
    </row>
    <row r="4707" spans="1:6" ht="18" customHeight="1">
      <c r="A4707" s="4" t="s">
        <v>155</v>
      </c>
      <c r="B4707" s="4" t="str">
        <f>"2020023918"</f>
        <v>2020023918</v>
      </c>
      <c r="C4707" s="5">
        <v>0</v>
      </c>
      <c r="D4707" s="6">
        <v>0</v>
      </c>
      <c r="E4707" s="7">
        <f t="shared" si="73"/>
        <v>0</v>
      </c>
      <c r="F4707" s="8" t="s">
        <v>8</v>
      </c>
    </row>
    <row r="4708" spans="1:6" ht="18" customHeight="1">
      <c r="A4708" s="4" t="s">
        <v>155</v>
      </c>
      <c r="B4708" s="4" t="str">
        <f>"2020032925"</f>
        <v>2020032925</v>
      </c>
      <c r="C4708" s="5">
        <v>0</v>
      </c>
      <c r="D4708" s="6">
        <v>0</v>
      </c>
      <c r="E4708" s="7">
        <f t="shared" si="73"/>
        <v>0</v>
      </c>
      <c r="F4708" s="8" t="s">
        <v>8</v>
      </c>
    </row>
    <row r="4709" spans="1:6" ht="18" customHeight="1">
      <c r="A4709" s="4" t="s">
        <v>155</v>
      </c>
      <c r="B4709" s="4" t="str">
        <f>"2020040707"</f>
        <v>2020040707</v>
      </c>
      <c r="C4709" s="5">
        <v>0</v>
      </c>
      <c r="D4709" s="6">
        <v>0</v>
      </c>
      <c r="E4709" s="7">
        <f t="shared" si="73"/>
        <v>0</v>
      </c>
      <c r="F4709" s="8" t="s">
        <v>8</v>
      </c>
    </row>
    <row r="4710" spans="1:6" ht="18" customHeight="1">
      <c r="A4710" s="4" t="s">
        <v>155</v>
      </c>
      <c r="B4710" s="4" t="str">
        <f>"2020042115"</f>
        <v>2020042115</v>
      </c>
      <c r="C4710" s="5">
        <v>0</v>
      </c>
      <c r="D4710" s="6">
        <v>0</v>
      </c>
      <c r="E4710" s="7">
        <f t="shared" si="73"/>
        <v>0</v>
      </c>
      <c r="F4710" s="8" t="s">
        <v>8</v>
      </c>
    </row>
    <row r="4711" spans="1:6" ht="18" customHeight="1">
      <c r="A4711" s="4" t="s">
        <v>155</v>
      </c>
      <c r="B4711" s="4" t="str">
        <f>"2020043714"</f>
        <v>2020043714</v>
      </c>
      <c r="C4711" s="5">
        <v>0</v>
      </c>
      <c r="D4711" s="6">
        <v>0</v>
      </c>
      <c r="E4711" s="7">
        <f t="shared" si="73"/>
        <v>0</v>
      </c>
      <c r="F4711" s="8" t="s">
        <v>8</v>
      </c>
    </row>
    <row r="4712" spans="1:6" ht="18" customHeight="1">
      <c r="A4712" s="4" t="s">
        <v>155</v>
      </c>
      <c r="B4712" s="4" t="str">
        <f>"2020045626"</f>
        <v>2020045626</v>
      </c>
      <c r="C4712" s="5">
        <v>0</v>
      </c>
      <c r="D4712" s="6">
        <v>0</v>
      </c>
      <c r="E4712" s="7">
        <f t="shared" si="73"/>
        <v>0</v>
      </c>
      <c r="F4712" s="8" t="s">
        <v>8</v>
      </c>
    </row>
    <row r="4713" spans="1:6" ht="18" customHeight="1">
      <c r="A4713" s="4" t="s">
        <v>156</v>
      </c>
      <c r="B4713" s="4" t="str">
        <f>"2020042804"</f>
        <v>2020042804</v>
      </c>
      <c r="C4713" s="5">
        <v>68.400000000000006</v>
      </c>
      <c r="D4713" s="6">
        <v>77.5</v>
      </c>
      <c r="E4713" s="7">
        <f t="shared" si="73"/>
        <v>145.9</v>
      </c>
      <c r="F4713" s="8"/>
    </row>
    <row r="4714" spans="1:6" ht="18" customHeight="1">
      <c r="A4714" s="4" t="s">
        <v>156</v>
      </c>
      <c r="B4714" s="4" t="str">
        <f>"2020046629"</f>
        <v>2020046629</v>
      </c>
      <c r="C4714" s="5">
        <v>75</v>
      </c>
      <c r="D4714" s="6">
        <v>65.5</v>
      </c>
      <c r="E4714" s="7">
        <f t="shared" si="73"/>
        <v>140.5</v>
      </c>
      <c r="F4714" s="8"/>
    </row>
    <row r="4715" spans="1:6" ht="18" customHeight="1">
      <c r="A4715" s="4" t="s">
        <v>156</v>
      </c>
      <c r="B4715" s="4" t="str">
        <f>"2020024003"</f>
        <v>2020024003</v>
      </c>
      <c r="C4715" s="5">
        <v>68.099999999999994</v>
      </c>
      <c r="D4715" s="6">
        <v>56.5</v>
      </c>
      <c r="E4715" s="7">
        <f t="shared" si="73"/>
        <v>124.6</v>
      </c>
      <c r="F4715" s="8"/>
    </row>
    <row r="4716" spans="1:6" ht="18" customHeight="1">
      <c r="A4716" s="4" t="s">
        <v>157</v>
      </c>
      <c r="B4716" s="4" t="str">
        <f>"2020023730"</f>
        <v>2020023730</v>
      </c>
      <c r="C4716" s="5">
        <v>65.5</v>
      </c>
      <c r="D4716" s="6">
        <v>81.5</v>
      </c>
      <c r="E4716" s="7">
        <f t="shared" si="73"/>
        <v>147</v>
      </c>
      <c r="F4716" s="8"/>
    </row>
    <row r="4717" spans="1:6" ht="18" customHeight="1">
      <c r="A4717" s="4" t="s">
        <v>157</v>
      </c>
      <c r="B4717" s="4" t="str">
        <f>"2020010513"</f>
        <v>2020010513</v>
      </c>
      <c r="C4717" s="5">
        <v>69.599999999999994</v>
      </c>
      <c r="D4717" s="6">
        <v>74</v>
      </c>
      <c r="E4717" s="7">
        <f t="shared" si="73"/>
        <v>143.6</v>
      </c>
      <c r="F4717" s="8"/>
    </row>
    <row r="4718" spans="1:6" ht="18" customHeight="1">
      <c r="A4718" s="4" t="s">
        <v>157</v>
      </c>
      <c r="B4718" s="4" t="str">
        <f>"2020042612"</f>
        <v>2020042612</v>
      </c>
      <c r="C4718" s="5">
        <v>0</v>
      </c>
      <c r="D4718" s="6">
        <v>0</v>
      </c>
      <c r="E4718" s="7">
        <f t="shared" si="73"/>
        <v>0</v>
      </c>
      <c r="F4718" s="8" t="s">
        <v>8</v>
      </c>
    </row>
    <row r="4719" spans="1:6" ht="18" customHeight="1">
      <c r="A4719" s="4" t="s">
        <v>157</v>
      </c>
      <c r="B4719" s="4" t="str">
        <f>"2020046322"</f>
        <v>2020046322</v>
      </c>
      <c r="C4719" s="5">
        <v>0</v>
      </c>
      <c r="D4719" s="6">
        <v>0</v>
      </c>
      <c r="E4719" s="7">
        <f t="shared" si="73"/>
        <v>0</v>
      </c>
      <c r="F4719" s="8" t="s">
        <v>8</v>
      </c>
    </row>
    <row r="4720" spans="1:6" ht="18" customHeight="1">
      <c r="A4720" s="4" t="s">
        <v>158</v>
      </c>
      <c r="B4720" s="4" t="str">
        <f>"2020020505"</f>
        <v>2020020505</v>
      </c>
      <c r="C4720" s="5">
        <v>74.400000000000006</v>
      </c>
      <c r="D4720" s="6">
        <v>78.5</v>
      </c>
      <c r="E4720" s="7">
        <f t="shared" si="73"/>
        <v>152.9</v>
      </c>
      <c r="F4720" s="8"/>
    </row>
    <row r="4721" spans="1:6" ht="18" customHeight="1">
      <c r="A4721" s="4" t="s">
        <v>158</v>
      </c>
      <c r="B4721" s="4" t="str">
        <f>"2020046324"</f>
        <v>2020046324</v>
      </c>
      <c r="C4721" s="5">
        <v>69</v>
      </c>
      <c r="D4721" s="6">
        <v>73</v>
      </c>
      <c r="E4721" s="7">
        <f t="shared" si="73"/>
        <v>142</v>
      </c>
      <c r="F4721" s="8"/>
    </row>
    <row r="4722" spans="1:6" ht="18" customHeight="1">
      <c r="A4722" s="4" t="s">
        <v>158</v>
      </c>
      <c r="B4722" s="4" t="str">
        <f>"2020045317"</f>
        <v>2020045317</v>
      </c>
      <c r="C4722" s="5">
        <v>67.400000000000006</v>
      </c>
      <c r="D4722" s="6">
        <v>69</v>
      </c>
      <c r="E4722" s="7">
        <f t="shared" si="73"/>
        <v>136.4</v>
      </c>
      <c r="F4722" s="8"/>
    </row>
    <row r="4723" spans="1:6" ht="18" customHeight="1">
      <c r="A4723" s="4" t="s">
        <v>158</v>
      </c>
      <c r="B4723" s="4" t="str">
        <f>"2020011712"</f>
        <v>2020011712</v>
      </c>
      <c r="C4723" s="5">
        <v>72.900000000000006</v>
      </c>
      <c r="D4723" s="6">
        <v>58.5</v>
      </c>
      <c r="E4723" s="7">
        <f t="shared" si="73"/>
        <v>131.4</v>
      </c>
      <c r="F4723" s="8"/>
    </row>
    <row r="4724" spans="1:6" ht="18" customHeight="1">
      <c r="A4724" s="4" t="s">
        <v>158</v>
      </c>
      <c r="B4724" s="4" t="str">
        <f>"2020033806"</f>
        <v>2020033806</v>
      </c>
      <c r="C4724" s="5">
        <v>65.599999999999994</v>
      </c>
      <c r="D4724" s="6">
        <v>57</v>
      </c>
      <c r="E4724" s="7">
        <f t="shared" si="73"/>
        <v>122.6</v>
      </c>
      <c r="F4724" s="8"/>
    </row>
    <row r="4725" spans="1:6" ht="18" customHeight="1">
      <c r="A4725" s="4" t="s">
        <v>158</v>
      </c>
      <c r="B4725" s="4" t="str">
        <f>"2020011103"</f>
        <v>2020011103</v>
      </c>
      <c r="C4725" s="5">
        <v>59.7</v>
      </c>
      <c r="D4725" s="6">
        <v>55.5</v>
      </c>
      <c r="E4725" s="7">
        <f t="shared" si="73"/>
        <v>115.2</v>
      </c>
      <c r="F4725" s="8"/>
    </row>
    <row r="4726" spans="1:6" ht="18" customHeight="1">
      <c r="A4726" s="4" t="s">
        <v>158</v>
      </c>
      <c r="B4726" s="4" t="str">
        <f>"2020040416"</f>
        <v>2020040416</v>
      </c>
      <c r="C4726" s="5">
        <v>0</v>
      </c>
      <c r="D4726" s="6">
        <v>0</v>
      </c>
      <c r="E4726" s="7">
        <f t="shared" si="73"/>
        <v>0</v>
      </c>
      <c r="F4726" s="8" t="s">
        <v>8</v>
      </c>
    </row>
    <row r="4727" spans="1:6" ht="18" customHeight="1">
      <c r="A4727" s="4" t="s">
        <v>158</v>
      </c>
      <c r="B4727" s="4" t="str">
        <f>"2020046123"</f>
        <v>2020046123</v>
      </c>
      <c r="C4727" s="5">
        <v>0</v>
      </c>
      <c r="D4727" s="6">
        <v>0</v>
      </c>
      <c r="E4727" s="7">
        <f t="shared" si="73"/>
        <v>0</v>
      </c>
      <c r="F4727" s="8" t="s">
        <v>8</v>
      </c>
    </row>
    <row r="4728" spans="1:6" ht="18" customHeight="1">
      <c r="A4728" s="4" t="s">
        <v>158</v>
      </c>
      <c r="B4728" s="4" t="str">
        <f>"2020046222"</f>
        <v>2020046222</v>
      </c>
      <c r="C4728" s="5">
        <v>0</v>
      </c>
      <c r="D4728" s="6">
        <v>0</v>
      </c>
      <c r="E4728" s="7">
        <f t="shared" si="73"/>
        <v>0</v>
      </c>
      <c r="F4728" s="8" t="s">
        <v>8</v>
      </c>
    </row>
    <row r="4729" spans="1:6" ht="18" customHeight="1">
      <c r="A4729" s="4" t="s">
        <v>159</v>
      </c>
      <c r="B4729" s="4" t="str">
        <f>"2020024325"</f>
        <v>2020024325</v>
      </c>
      <c r="C4729" s="5">
        <v>71.400000000000006</v>
      </c>
      <c r="D4729" s="6">
        <v>80.5</v>
      </c>
      <c r="E4729" s="7">
        <f t="shared" si="73"/>
        <v>151.9</v>
      </c>
      <c r="F4729" s="8"/>
    </row>
    <row r="4730" spans="1:6" ht="18" customHeight="1">
      <c r="A4730" s="4" t="s">
        <v>159</v>
      </c>
      <c r="B4730" s="4" t="str">
        <f>"2020024503"</f>
        <v>2020024503</v>
      </c>
      <c r="C4730" s="5">
        <v>72.3</v>
      </c>
      <c r="D4730" s="6">
        <v>77.5</v>
      </c>
      <c r="E4730" s="7">
        <f t="shared" si="73"/>
        <v>149.80000000000001</v>
      </c>
      <c r="F4730" s="8"/>
    </row>
    <row r="4731" spans="1:6" ht="18" customHeight="1">
      <c r="A4731" s="4" t="s">
        <v>159</v>
      </c>
      <c r="B4731" s="4" t="str">
        <f>"2020010305"</f>
        <v>2020010305</v>
      </c>
      <c r="C4731" s="5">
        <v>74.8</v>
      </c>
      <c r="D4731" s="6">
        <v>68.5</v>
      </c>
      <c r="E4731" s="7">
        <f t="shared" si="73"/>
        <v>143.30000000000001</v>
      </c>
      <c r="F4731" s="8"/>
    </row>
    <row r="4732" spans="1:6" ht="18" customHeight="1">
      <c r="A4732" s="4" t="s">
        <v>159</v>
      </c>
      <c r="B4732" s="4" t="str">
        <f>"2020030823"</f>
        <v>2020030823</v>
      </c>
      <c r="C4732" s="5">
        <v>65.400000000000006</v>
      </c>
      <c r="D4732" s="6">
        <v>75.5</v>
      </c>
      <c r="E4732" s="7">
        <f t="shared" si="73"/>
        <v>140.9</v>
      </c>
      <c r="F4732" s="8"/>
    </row>
    <row r="4733" spans="1:6" ht="18" customHeight="1">
      <c r="A4733" s="4" t="s">
        <v>159</v>
      </c>
      <c r="B4733" s="4" t="str">
        <f>"2020011814"</f>
        <v>2020011814</v>
      </c>
      <c r="C4733" s="5">
        <v>66.8</v>
      </c>
      <c r="D4733" s="6">
        <v>72.5</v>
      </c>
      <c r="E4733" s="7">
        <f t="shared" si="73"/>
        <v>139.30000000000001</v>
      </c>
      <c r="F4733" s="8"/>
    </row>
    <row r="4734" spans="1:6" ht="18" customHeight="1">
      <c r="A4734" s="4" t="s">
        <v>159</v>
      </c>
      <c r="B4734" s="4" t="str">
        <f>"2020042121"</f>
        <v>2020042121</v>
      </c>
      <c r="C4734" s="5">
        <v>66.5</v>
      </c>
      <c r="D4734" s="6">
        <v>72.5</v>
      </c>
      <c r="E4734" s="7">
        <f t="shared" si="73"/>
        <v>139</v>
      </c>
      <c r="F4734" s="8"/>
    </row>
    <row r="4735" spans="1:6" ht="18" customHeight="1">
      <c r="A4735" s="4" t="s">
        <v>159</v>
      </c>
      <c r="B4735" s="4" t="str">
        <f>"2020032728"</f>
        <v>2020032728</v>
      </c>
      <c r="C4735" s="5">
        <v>68.099999999999994</v>
      </c>
      <c r="D4735" s="6">
        <v>70.5</v>
      </c>
      <c r="E4735" s="7">
        <f t="shared" si="73"/>
        <v>138.6</v>
      </c>
      <c r="F4735" s="8"/>
    </row>
    <row r="4736" spans="1:6" ht="18" customHeight="1">
      <c r="A4736" s="4" t="s">
        <v>159</v>
      </c>
      <c r="B4736" s="4" t="str">
        <f>"2020041919"</f>
        <v>2020041919</v>
      </c>
      <c r="C4736" s="5">
        <v>67.900000000000006</v>
      </c>
      <c r="D4736" s="6">
        <v>69</v>
      </c>
      <c r="E4736" s="7">
        <f t="shared" si="73"/>
        <v>136.9</v>
      </c>
      <c r="F4736" s="8"/>
    </row>
    <row r="4737" spans="1:6" ht="18" customHeight="1">
      <c r="A4737" s="4" t="s">
        <v>159</v>
      </c>
      <c r="B4737" s="4" t="str">
        <f>"2020023605"</f>
        <v>2020023605</v>
      </c>
      <c r="C4737" s="5">
        <v>62.9</v>
      </c>
      <c r="D4737" s="6">
        <v>73.5</v>
      </c>
      <c r="E4737" s="7">
        <f t="shared" si="73"/>
        <v>136.4</v>
      </c>
      <c r="F4737" s="8"/>
    </row>
    <row r="4738" spans="1:6" ht="18" customHeight="1">
      <c r="A4738" s="4" t="s">
        <v>159</v>
      </c>
      <c r="B4738" s="4" t="str">
        <f>"2020021604"</f>
        <v>2020021604</v>
      </c>
      <c r="C4738" s="5">
        <v>68.099999999999994</v>
      </c>
      <c r="D4738" s="6">
        <v>57.5</v>
      </c>
      <c r="E4738" s="7">
        <f t="shared" si="73"/>
        <v>125.6</v>
      </c>
      <c r="F4738" s="8"/>
    </row>
    <row r="4739" spans="1:6" ht="18" customHeight="1">
      <c r="A4739" s="4" t="s">
        <v>159</v>
      </c>
      <c r="B4739" s="4" t="str">
        <f>"2020042904"</f>
        <v>2020042904</v>
      </c>
      <c r="C4739" s="5">
        <v>59.5</v>
      </c>
      <c r="D4739" s="6">
        <v>56.5</v>
      </c>
      <c r="E4739" s="7">
        <f t="shared" ref="E4739:E4802" si="74">SUM(C4739:D4739)</f>
        <v>116</v>
      </c>
      <c r="F4739" s="8"/>
    </row>
    <row r="4740" spans="1:6" ht="18" customHeight="1">
      <c r="A4740" s="4" t="s">
        <v>159</v>
      </c>
      <c r="B4740" s="4" t="str">
        <f>"2020022329"</f>
        <v>2020022329</v>
      </c>
      <c r="C4740" s="5">
        <v>0</v>
      </c>
      <c r="D4740" s="6">
        <v>0</v>
      </c>
      <c r="E4740" s="7">
        <f t="shared" si="74"/>
        <v>0</v>
      </c>
      <c r="F4740" s="8" t="s">
        <v>8</v>
      </c>
    </row>
    <row r="4741" spans="1:6" ht="18" customHeight="1">
      <c r="A4741" s="4" t="s">
        <v>159</v>
      </c>
      <c r="B4741" s="4" t="str">
        <f>"2020024216"</f>
        <v>2020024216</v>
      </c>
      <c r="C4741" s="5">
        <v>0</v>
      </c>
      <c r="D4741" s="6">
        <v>0</v>
      </c>
      <c r="E4741" s="7">
        <f t="shared" si="74"/>
        <v>0</v>
      </c>
      <c r="F4741" s="8" t="s">
        <v>8</v>
      </c>
    </row>
    <row r="4742" spans="1:6" ht="18" customHeight="1">
      <c r="A4742" s="4" t="s">
        <v>160</v>
      </c>
      <c r="B4742" s="4" t="str">
        <f>"2020022221"</f>
        <v>2020022221</v>
      </c>
      <c r="C4742" s="5">
        <v>73.400000000000006</v>
      </c>
      <c r="D4742" s="6">
        <v>85</v>
      </c>
      <c r="E4742" s="7">
        <f t="shared" si="74"/>
        <v>158.4</v>
      </c>
      <c r="F4742" s="8"/>
    </row>
    <row r="4743" spans="1:6" ht="18" customHeight="1">
      <c r="A4743" s="4" t="s">
        <v>160</v>
      </c>
      <c r="B4743" s="4" t="str">
        <f>"2020013912"</f>
        <v>2020013912</v>
      </c>
      <c r="C4743" s="5">
        <v>73</v>
      </c>
      <c r="D4743" s="6">
        <v>84.5</v>
      </c>
      <c r="E4743" s="7">
        <f t="shared" si="74"/>
        <v>157.5</v>
      </c>
      <c r="F4743" s="8"/>
    </row>
    <row r="4744" spans="1:6" ht="18" customHeight="1">
      <c r="A4744" s="4" t="s">
        <v>160</v>
      </c>
      <c r="B4744" s="4" t="str">
        <f>"2020046824"</f>
        <v>2020046824</v>
      </c>
      <c r="C4744" s="5">
        <v>70.900000000000006</v>
      </c>
      <c r="D4744" s="6">
        <v>77.5</v>
      </c>
      <c r="E4744" s="7">
        <f t="shared" si="74"/>
        <v>148.4</v>
      </c>
      <c r="F4744" s="8"/>
    </row>
    <row r="4745" spans="1:6" ht="18" customHeight="1">
      <c r="A4745" s="4" t="s">
        <v>160</v>
      </c>
      <c r="B4745" s="4" t="str">
        <f>"2020040917"</f>
        <v>2020040917</v>
      </c>
      <c r="C4745" s="5">
        <v>62</v>
      </c>
      <c r="D4745" s="6">
        <v>86</v>
      </c>
      <c r="E4745" s="7">
        <f t="shared" si="74"/>
        <v>148</v>
      </c>
      <c r="F4745" s="8"/>
    </row>
    <row r="4746" spans="1:6" ht="18" customHeight="1">
      <c r="A4746" s="4" t="s">
        <v>160</v>
      </c>
      <c r="B4746" s="4" t="str">
        <f>"2020045419"</f>
        <v>2020045419</v>
      </c>
      <c r="C4746" s="5">
        <v>73.3</v>
      </c>
      <c r="D4746" s="6">
        <v>66</v>
      </c>
      <c r="E4746" s="7">
        <f t="shared" si="74"/>
        <v>139.30000000000001</v>
      </c>
      <c r="F4746" s="8"/>
    </row>
    <row r="4747" spans="1:6" ht="18" customHeight="1">
      <c r="A4747" s="4" t="s">
        <v>160</v>
      </c>
      <c r="B4747" s="4" t="str">
        <f>"2020047302"</f>
        <v>2020047302</v>
      </c>
      <c r="C4747" s="5">
        <v>61.7</v>
      </c>
      <c r="D4747" s="6">
        <v>77</v>
      </c>
      <c r="E4747" s="7">
        <f t="shared" si="74"/>
        <v>138.69999999999999</v>
      </c>
      <c r="F4747" s="8"/>
    </row>
    <row r="4748" spans="1:6" ht="18" customHeight="1">
      <c r="A4748" s="4" t="s">
        <v>160</v>
      </c>
      <c r="B4748" s="4" t="str">
        <f>"2020032609"</f>
        <v>2020032609</v>
      </c>
      <c r="C4748" s="5">
        <v>65.900000000000006</v>
      </c>
      <c r="D4748" s="6">
        <v>71.5</v>
      </c>
      <c r="E4748" s="7">
        <f t="shared" si="74"/>
        <v>137.4</v>
      </c>
      <c r="F4748" s="8"/>
    </row>
    <row r="4749" spans="1:6" ht="18" customHeight="1">
      <c r="A4749" s="4" t="s">
        <v>160</v>
      </c>
      <c r="B4749" s="4" t="str">
        <f>"2020044701"</f>
        <v>2020044701</v>
      </c>
      <c r="C4749" s="5">
        <v>73.5</v>
      </c>
      <c r="D4749" s="6">
        <v>61.5</v>
      </c>
      <c r="E4749" s="7">
        <f t="shared" si="74"/>
        <v>135</v>
      </c>
      <c r="F4749" s="8"/>
    </row>
    <row r="4750" spans="1:6" ht="18" customHeight="1">
      <c r="A4750" s="4" t="s">
        <v>160</v>
      </c>
      <c r="B4750" s="4" t="str">
        <f>"2020022211"</f>
        <v>2020022211</v>
      </c>
      <c r="C4750" s="5">
        <v>64.400000000000006</v>
      </c>
      <c r="D4750" s="6">
        <v>67</v>
      </c>
      <c r="E4750" s="7">
        <f t="shared" si="74"/>
        <v>131.4</v>
      </c>
      <c r="F4750" s="8"/>
    </row>
    <row r="4751" spans="1:6" ht="18" customHeight="1">
      <c r="A4751" s="4" t="s">
        <v>160</v>
      </c>
      <c r="B4751" s="4" t="str">
        <f>"2020043420"</f>
        <v>2020043420</v>
      </c>
      <c r="C4751" s="5">
        <v>64.599999999999994</v>
      </c>
      <c r="D4751" s="6">
        <v>65</v>
      </c>
      <c r="E4751" s="7">
        <f t="shared" si="74"/>
        <v>129.6</v>
      </c>
      <c r="F4751" s="8"/>
    </row>
    <row r="4752" spans="1:6" ht="18" customHeight="1">
      <c r="A4752" s="4" t="s">
        <v>160</v>
      </c>
      <c r="B4752" s="4" t="str">
        <f>"2020031620"</f>
        <v>2020031620</v>
      </c>
      <c r="C4752" s="5">
        <v>59.7</v>
      </c>
      <c r="D4752" s="6">
        <v>67.5</v>
      </c>
      <c r="E4752" s="7">
        <f t="shared" si="74"/>
        <v>127.2</v>
      </c>
      <c r="F4752" s="8"/>
    </row>
    <row r="4753" spans="1:6" ht="18" customHeight="1">
      <c r="A4753" s="4" t="s">
        <v>160</v>
      </c>
      <c r="B4753" s="4" t="str">
        <f>"2020023604"</f>
        <v>2020023604</v>
      </c>
      <c r="C4753" s="5">
        <v>61.3</v>
      </c>
      <c r="D4753" s="6">
        <v>62</v>
      </c>
      <c r="E4753" s="7">
        <f t="shared" si="74"/>
        <v>123.3</v>
      </c>
      <c r="F4753" s="8"/>
    </row>
    <row r="4754" spans="1:6" ht="18" customHeight="1">
      <c r="A4754" s="4" t="s">
        <v>160</v>
      </c>
      <c r="B4754" s="4" t="str">
        <f>"2020012920"</f>
        <v>2020012920</v>
      </c>
      <c r="C4754" s="5">
        <v>59.5</v>
      </c>
      <c r="D4754" s="6">
        <v>63</v>
      </c>
      <c r="E4754" s="7">
        <f t="shared" si="74"/>
        <v>122.5</v>
      </c>
      <c r="F4754" s="8"/>
    </row>
    <row r="4755" spans="1:6" ht="18" customHeight="1">
      <c r="A4755" s="4" t="s">
        <v>160</v>
      </c>
      <c r="B4755" s="4" t="str">
        <f>"2020023824"</f>
        <v>2020023824</v>
      </c>
      <c r="C4755" s="5">
        <v>0</v>
      </c>
      <c r="D4755" s="6">
        <v>0</v>
      </c>
      <c r="E4755" s="7">
        <f t="shared" si="74"/>
        <v>0</v>
      </c>
      <c r="F4755" s="8" t="s">
        <v>8</v>
      </c>
    </row>
    <row r="4756" spans="1:6" ht="18" customHeight="1">
      <c r="A4756" s="4" t="s">
        <v>160</v>
      </c>
      <c r="B4756" s="4" t="str">
        <f>"2020031509"</f>
        <v>2020031509</v>
      </c>
      <c r="C4756" s="5">
        <v>0</v>
      </c>
      <c r="D4756" s="6">
        <v>0</v>
      </c>
      <c r="E4756" s="7">
        <f t="shared" si="74"/>
        <v>0</v>
      </c>
      <c r="F4756" s="8" t="s">
        <v>8</v>
      </c>
    </row>
    <row r="4757" spans="1:6" ht="18" customHeight="1">
      <c r="A4757" s="4" t="s">
        <v>160</v>
      </c>
      <c r="B4757" s="4" t="str">
        <f>"2020047304"</f>
        <v>2020047304</v>
      </c>
      <c r="C4757" s="5">
        <v>0</v>
      </c>
      <c r="D4757" s="6">
        <v>0</v>
      </c>
      <c r="E4757" s="7">
        <f t="shared" si="74"/>
        <v>0</v>
      </c>
      <c r="F4757" s="8" t="s">
        <v>8</v>
      </c>
    </row>
    <row r="4758" spans="1:6" ht="18" customHeight="1">
      <c r="A4758" s="4" t="s">
        <v>161</v>
      </c>
      <c r="B4758" s="4" t="str">
        <f>"2020042819"</f>
        <v>2020042819</v>
      </c>
      <c r="C4758" s="5">
        <v>61.6</v>
      </c>
      <c r="D4758" s="6">
        <v>58.5</v>
      </c>
      <c r="E4758" s="7">
        <f t="shared" si="74"/>
        <v>120.1</v>
      </c>
      <c r="F4758" s="8"/>
    </row>
    <row r="4759" spans="1:6" ht="18" customHeight="1">
      <c r="A4759" s="4" t="s">
        <v>161</v>
      </c>
      <c r="B4759" s="4" t="str">
        <f>"2020045012"</f>
        <v>2020045012</v>
      </c>
      <c r="C4759" s="5">
        <v>57.1</v>
      </c>
      <c r="D4759" s="6">
        <v>61.5</v>
      </c>
      <c r="E4759" s="7">
        <f t="shared" si="74"/>
        <v>118.6</v>
      </c>
      <c r="F4759" s="8"/>
    </row>
    <row r="4760" spans="1:6" ht="18" customHeight="1">
      <c r="A4760" s="4" t="s">
        <v>161</v>
      </c>
      <c r="B4760" s="4" t="str">
        <f>"2020041405"</f>
        <v>2020041405</v>
      </c>
      <c r="C4760" s="5">
        <v>60</v>
      </c>
      <c r="D4760" s="6">
        <v>46.5</v>
      </c>
      <c r="E4760" s="7">
        <f t="shared" si="74"/>
        <v>106.5</v>
      </c>
      <c r="F4760" s="8"/>
    </row>
    <row r="4761" spans="1:6" ht="18" customHeight="1">
      <c r="A4761" s="4" t="s">
        <v>161</v>
      </c>
      <c r="B4761" s="4" t="str">
        <f>"2020041329"</f>
        <v>2020041329</v>
      </c>
      <c r="C4761" s="5">
        <v>57.8</v>
      </c>
      <c r="D4761" s="6">
        <v>44</v>
      </c>
      <c r="E4761" s="7">
        <f t="shared" si="74"/>
        <v>101.8</v>
      </c>
      <c r="F4761" s="8"/>
    </row>
    <row r="4762" spans="1:6" ht="18" customHeight="1">
      <c r="A4762" s="4" t="s">
        <v>161</v>
      </c>
      <c r="B4762" s="4" t="str">
        <f>"2020011308"</f>
        <v>2020011308</v>
      </c>
      <c r="C4762" s="5">
        <v>0</v>
      </c>
      <c r="D4762" s="6">
        <v>0</v>
      </c>
      <c r="E4762" s="7">
        <f t="shared" si="74"/>
        <v>0</v>
      </c>
      <c r="F4762" s="9" t="s">
        <v>8</v>
      </c>
    </row>
    <row r="4763" spans="1:6" ht="18" customHeight="1">
      <c r="A4763" s="4" t="s">
        <v>161</v>
      </c>
      <c r="B4763" s="4" t="str">
        <f>"2020031602"</f>
        <v>2020031602</v>
      </c>
      <c r="C4763" s="5">
        <v>0</v>
      </c>
      <c r="D4763" s="6">
        <v>0</v>
      </c>
      <c r="E4763" s="7">
        <f t="shared" si="74"/>
        <v>0</v>
      </c>
      <c r="F4763" s="8" t="s">
        <v>8</v>
      </c>
    </row>
    <row r="4764" spans="1:6" ht="18" customHeight="1">
      <c r="A4764" s="4" t="s">
        <v>162</v>
      </c>
      <c r="B4764" s="4" t="str">
        <f>"2020011528"</f>
        <v>2020011528</v>
      </c>
      <c r="C4764" s="5">
        <v>0</v>
      </c>
      <c r="D4764" s="6">
        <v>0</v>
      </c>
      <c r="E4764" s="7">
        <f t="shared" si="74"/>
        <v>0</v>
      </c>
      <c r="F4764" s="9" t="s">
        <v>8</v>
      </c>
    </row>
    <row r="4765" spans="1:6" ht="18" customHeight="1">
      <c r="A4765" s="4" t="s">
        <v>162</v>
      </c>
      <c r="B4765" s="4" t="str">
        <f>"2020023726"</f>
        <v>2020023726</v>
      </c>
      <c r="C4765" s="5">
        <v>0</v>
      </c>
      <c r="D4765" s="6">
        <v>0</v>
      </c>
      <c r="E4765" s="7">
        <f t="shared" si="74"/>
        <v>0</v>
      </c>
      <c r="F4765" s="8" t="s">
        <v>8</v>
      </c>
    </row>
    <row r="4766" spans="1:6" ht="18" customHeight="1">
      <c r="A4766" s="4" t="s">
        <v>162</v>
      </c>
      <c r="B4766" s="4" t="str">
        <f>"2020044004"</f>
        <v>2020044004</v>
      </c>
      <c r="C4766" s="5">
        <v>0</v>
      </c>
      <c r="D4766" s="6">
        <v>0</v>
      </c>
      <c r="E4766" s="7">
        <f t="shared" si="74"/>
        <v>0</v>
      </c>
      <c r="F4766" s="8" t="s">
        <v>8</v>
      </c>
    </row>
    <row r="4767" spans="1:6" ht="18" customHeight="1">
      <c r="A4767" s="4" t="s">
        <v>163</v>
      </c>
      <c r="B4767" s="4" t="str">
        <f>"2020043313"</f>
        <v>2020043313</v>
      </c>
      <c r="C4767" s="5">
        <v>62.5</v>
      </c>
      <c r="D4767" s="6">
        <v>72.5</v>
      </c>
      <c r="E4767" s="7">
        <f t="shared" si="74"/>
        <v>135</v>
      </c>
      <c r="F4767" s="8"/>
    </row>
    <row r="4768" spans="1:6" ht="18" customHeight="1">
      <c r="A4768" s="4" t="s">
        <v>163</v>
      </c>
      <c r="B4768" s="4" t="str">
        <f>"2020022401"</f>
        <v>2020022401</v>
      </c>
      <c r="C4768" s="5">
        <v>0</v>
      </c>
      <c r="D4768" s="6">
        <v>0</v>
      </c>
      <c r="E4768" s="7">
        <f t="shared" si="74"/>
        <v>0</v>
      </c>
      <c r="F4768" s="8" t="s">
        <v>8</v>
      </c>
    </row>
    <row r="4769" spans="1:6" ht="18" customHeight="1">
      <c r="A4769" s="4" t="s">
        <v>163</v>
      </c>
      <c r="B4769" s="4" t="str">
        <f>"2020042713"</f>
        <v>2020042713</v>
      </c>
      <c r="C4769" s="5">
        <v>0</v>
      </c>
      <c r="D4769" s="6">
        <v>0</v>
      </c>
      <c r="E4769" s="7">
        <f t="shared" si="74"/>
        <v>0</v>
      </c>
      <c r="F4769" s="8" t="s">
        <v>8</v>
      </c>
    </row>
    <row r="4770" spans="1:6" ht="18" customHeight="1">
      <c r="A4770" s="4" t="s">
        <v>164</v>
      </c>
      <c r="B4770" s="4" t="str">
        <f>"2020045422"</f>
        <v>2020045422</v>
      </c>
      <c r="C4770" s="5">
        <v>74.599999999999994</v>
      </c>
      <c r="D4770" s="6">
        <v>70</v>
      </c>
      <c r="E4770" s="7">
        <f t="shared" si="74"/>
        <v>144.6</v>
      </c>
      <c r="F4770" s="8"/>
    </row>
    <row r="4771" spans="1:6" ht="18" customHeight="1">
      <c r="A4771" s="4" t="s">
        <v>164</v>
      </c>
      <c r="B4771" s="4" t="str">
        <f>"2020046321"</f>
        <v>2020046321</v>
      </c>
      <c r="C4771" s="5">
        <v>76</v>
      </c>
      <c r="D4771" s="6">
        <v>68</v>
      </c>
      <c r="E4771" s="7">
        <f t="shared" si="74"/>
        <v>144</v>
      </c>
      <c r="F4771" s="8"/>
    </row>
    <row r="4772" spans="1:6" ht="18" customHeight="1">
      <c r="A4772" s="4" t="s">
        <v>164</v>
      </c>
      <c r="B4772" s="4" t="str">
        <f>"2020030217"</f>
        <v>2020030217</v>
      </c>
      <c r="C4772" s="5">
        <v>64.3</v>
      </c>
      <c r="D4772" s="6">
        <v>79.5</v>
      </c>
      <c r="E4772" s="7">
        <f t="shared" si="74"/>
        <v>143.80000000000001</v>
      </c>
      <c r="F4772" s="8"/>
    </row>
    <row r="4773" spans="1:6" ht="18" customHeight="1">
      <c r="A4773" s="4" t="s">
        <v>164</v>
      </c>
      <c r="B4773" s="4" t="str">
        <f>"2020010922"</f>
        <v>2020010922</v>
      </c>
      <c r="C4773" s="5">
        <v>72.7</v>
      </c>
      <c r="D4773" s="6">
        <v>69</v>
      </c>
      <c r="E4773" s="7">
        <f t="shared" si="74"/>
        <v>141.69999999999999</v>
      </c>
      <c r="F4773" s="8"/>
    </row>
    <row r="4774" spans="1:6" ht="18" customHeight="1">
      <c r="A4774" s="4" t="s">
        <v>164</v>
      </c>
      <c r="B4774" s="4" t="str">
        <f>"2020033525"</f>
        <v>2020033525</v>
      </c>
      <c r="C4774" s="5">
        <v>68.7</v>
      </c>
      <c r="D4774" s="6">
        <v>72.5</v>
      </c>
      <c r="E4774" s="7">
        <f t="shared" si="74"/>
        <v>141.19999999999999</v>
      </c>
      <c r="F4774" s="8"/>
    </row>
    <row r="4775" spans="1:6" ht="18" customHeight="1">
      <c r="A4775" s="4" t="s">
        <v>164</v>
      </c>
      <c r="B4775" s="4" t="str">
        <f>"2020041021"</f>
        <v>2020041021</v>
      </c>
      <c r="C4775" s="5">
        <v>66.5</v>
      </c>
      <c r="D4775" s="6">
        <v>74</v>
      </c>
      <c r="E4775" s="7">
        <f t="shared" si="74"/>
        <v>140.5</v>
      </c>
      <c r="F4775" s="8"/>
    </row>
    <row r="4776" spans="1:6" ht="18" customHeight="1">
      <c r="A4776" s="4" t="s">
        <v>164</v>
      </c>
      <c r="B4776" s="4" t="str">
        <f>"2020042129"</f>
        <v>2020042129</v>
      </c>
      <c r="C4776" s="5">
        <v>75.099999999999994</v>
      </c>
      <c r="D4776" s="6">
        <v>64.5</v>
      </c>
      <c r="E4776" s="7">
        <f t="shared" si="74"/>
        <v>139.6</v>
      </c>
      <c r="F4776" s="8"/>
    </row>
    <row r="4777" spans="1:6" ht="18" customHeight="1">
      <c r="A4777" s="4" t="s">
        <v>164</v>
      </c>
      <c r="B4777" s="4" t="str">
        <f>"2020042510"</f>
        <v>2020042510</v>
      </c>
      <c r="C4777" s="5">
        <v>72.3</v>
      </c>
      <c r="D4777" s="6">
        <v>62</v>
      </c>
      <c r="E4777" s="7">
        <f t="shared" si="74"/>
        <v>134.30000000000001</v>
      </c>
      <c r="F4777" s="8"/>
    </row>
    <row r="4778" spans="1:6" ht="18" customHeight="1">
      <c r="A4778" s="4" t="s">
        <v>164</v>
      </c>
      <c r="B4778" s="4" t="str">
        <f>"2020022822"</f>
        <v>2020022822</v>
      </c>
      <c r="C4778" s="5">
        <v>67.8</v>
      </c>
      <c r="D4778" s="6">
        <v>66.5</v>
      </c>
      <c r="E4778" s="7">
        <f t="shared" si="74"/>
        <v>134.30000000000001</v>
      </c>
      <c r="F4778" s="8"/>
    </row>
    <row r="4779" spans="1:6" ht="18" customHeight="1">
      <c r="A4779" s="4" t="s">
        <v>164</v>
      </c>
      <c r="B4779" s="4" t="str">
        <f>"2020043005"</f>
        <v>2020043005</v>
      </c>
      <c r="C4779" s="5">
        <v>66.3</v>
      </c>
      <c r="D4779" s="6">
        <v>68</v>
      </c>
      <c r="E4779" s="7">
        <f t="shared" si="74"/>
        <v>134.30000000000001</v>
      </c>
      <c r="F4779" s="8"/>
    </row>
    <row r="4780" spans="1:6" ht="18" customHeight="1">
      <c r="A4780" s="4" t="s">
        <v>164</v>
      </c>
      <c r="B4780" s="4" t="str">
        <f>"2020045118"</f>
        <v>2020045118</v>
      </c>
      <c r="C4780" s="5">
        <v>69.7</v>
      </c>
      <c r="D4780" s="6">
        <v>64.5</v>
      </c>
      <c r="E4780" s="7">
        <f t="shared" si="74"/>
        <v>134.19999999999999</v>
      </c>
      <c r="F4780" s="8"/>
    </row>
    <row r="4781" spans="1:6" ht="18" customHeight="1">
      <c r="A4781" s="4" t="s">
        <v>164</v>
      </c>
      <c r="B4781" s="4" t="str">
        <f>"2020024702"</f>
        <v>2020024702</v>
      </c>
      <c r="C4781" s="5">
        <v>60.5</v>
      </c>
      <c r="D4781" s="6">
        <v>73.5</v>
      </c>
      <c r="E4781" s="7">
        <f t="shared" si="74"/>
        <v>134</v>
      </c>
      <c r="F4781" s="8"/>
    </row>
    <row r="4782" spans="1:6" ht="18" customHeight="1">
      <c r="A4782" s="4" t="s">
        <v>164</v>
      </c>
      <c r="B4782" s="4" t="str">
        <f>"2020032130"</f>
        <v>2020032130</v>
      </c>
      <c r="C4782" s="5">
        <v>64.2</v>
      </c>
      <c r="D4782" s="6">
        <v>69.5</v>
      </c>
      <c r="E4782" s="7">
        <f t="shared" si="74"/>
        <v>133.69999999999999</v>
      </c>
      <c r="F4782" s="8"/>
    </row>
    <row r="4783" spans="1:6" ht="18" customHeight="1">
      <c r="A4783" s="4" t="s">
        <v>164</v>
      </c>
      <c r="B4783" s="4" t="str">
        <f>"2020012228"</f>
        <v>2020012228</v>
      </c>
      <c r="C4783" s="5">
        <v>66.400000000000006</v>
      </c>
      <c r="D4783" s="6">
        <v>67</v>
      </c>
      <c r="E4783" s="7">
        <f t="shared" si="74"/>
        <v>133.4</v>
      </c>
      <c r="F4783" s="8"/>
    </row>
    <row r="4784" spans="1:6" ht="18" customHeight="1">
      <c r="A4784" s="4" t="s">
        <v>164</v>
      </c>
      <c r="B4784" s="4" t="str">
        <f>"2020033020"</f>
        <v>2020033020</v>
      </c>
      <c r="C4784" s="5">
        <v>69.8</v>
      </c>
      <c r="D4784" s="6">
        <v>63</v>
      </c>
      <c r="E4784" s="7">
        <f t="shared" si="74"/>
        <v>132.80000000000001</v>
      </c>
      <c r="F4784" s="8"/>
    </row>
    <row r="4785" spans="1:6" ht="18" customHeight="1">
      <c r="A4785" s="4" t="s">
        <v>164</v>
      </c>
      <c r="B4785" s="4" t="str">
        <f>"2020013824"</f>
        <v>2020013824</v>
      </c>
      <c r="C4785" s="5">
        <v>63.8</v>
      </c>
      <c r="D4785" s="6">
        <v>68.5</v>
      </c>
      <c r="E4785" s="7">
        <f t="shared" si="74"/>
        <v>132.30000000000001</v>
      </c>
      <c r="F4785" s="8"/>
    </row>
    <row r="4786" spans="1:6" ht="18" customHeight="1">
      <c r="A4786" s="4" t="s">
        <v>164</v>
      </c>
      <c r="B4786" s="4" t="str">
        <f>"2020032123"</f>
        <v>2020032123</v>
      </c>
      <c r="C4786" s="5">
        <v>67.599999999999994</v>
      </c>
      <c r="D4786" s="6">
        <v>63</v>
      </c>
      <c r="E4786" s="7">
        <f t="shared" si="74"/>
        <v>130.6</v>
      </c>
      <c r="F4786" s="8"/>
    </row>
    <row r="4787" spans="1:6" ht="18" customHeight="1">
      <c r="A4787" s="4" t="s">
        <v>164</v>
      </c>
      <c r="B4787" s="4" t="str">
        <f>"2020023407"</f>
        <v>2020023407</v>
      </c>
      <c r="C4787" s="5">
        <v>67</v>
      </c>
      <c r="D4787" s="6">
        <v>62.5</v>
      </c>
      <c r="E4787" s="7">
        <f t="shared" si="74"/>
        <v>129.5</v>
      </c>
      <c r="F4787" s="8"/>
    </row>
    <row r="4788" spans="1:6" ht="18" customHeight="1">
      <c r="A4788" s="4" t="s">
        <v>164</v>
      </c>
      <c r="B4788" s="4" t="str">
        <f>"2020043404"</f>
        <v>2020043404</v>
      </c>
      <c r="C4788" s="5">
        <v>64.8</v>
      </c>
      <c r="D4788" s="6">
        <v>64.5</v>
      </c>
      <c r="E4788" s="7">
        <f t="shared" si="74"/>
        <v>129.30000000000001</v>
      </c>
      <c r="F4788" s="8"/>
    </row>
    <row r="4789" spans="1:6" ht="18" customHeight="1">
      <c r="A4789" s="4" t="s">
        <v>164</v>
      </c>
      <c r="B4789" s="4" t="str">
        <f>"2020013411"</f>
        <v>2020013411</v>
      </c>
      <c r="C4789" s="5">
        <v>69.7</v>
      </c>
      <c r="D4789" s="6">
        <v>59</v>
      </c>
      <c r="E4789" s="7">
        <f t="shared" si="74"/>
        <v>128.69999999999999</v>
      </c>
      <c r="F4789" s="8"/>
    </row>
    <row r="4790" spans="1:6" ht="18" customHeight="1">
      <c r="A4790" s="4" t="s">
        <v>164</v>
      </c>
      <c r="B4790" s="4" t="str">
        <f>"2020030204"</f>
        <v>2020030204</v>
      </c>
      <c r="C4790" s="5">
        <v>64.400000000000006</v>
      </c>
      <c r="D4790" s="6">
        <v>63</v>
      </c>
      <c r="E4790" s="7">
        <f t="shared" si="74"/>
        <v>127.4</v>
      </c>
      <c r="F4790" s="8"/>
    </row>
    <row r="4791" spans="1:6" ht="18" customHeight="1">
      <c r="A4791" s="4" t="s">
        <v>164</v>
      </c>
      <c r="B4791" s="4" t="str">
        <f>"2020032730"</f>
        <v>2020032730</v>
      </c>
      <c r="C4791" s="5">
        <v>66.599999999999994</v>
      </c>
      <c r="D4791" s="6">
        <v>60.5</v>
      </c>
      <c r="E4791" s="7">
        <f t="shared" si="74"/>
        <v>127.1</v>
      </c>
      <c r="F4791" s="8"/>
    </row>
    <row r="4792" spans="1:6" ht="18" customHeight="1">
      <c r="A4792" s="4" t="s">
        <v>164</v>
      </c>
      <c r="B4792" s="4" t="str">
        <f>"2020030720"</f>
        <v>2020030720</v>
      </c>
      <c r="C4792" s="5">
        <v>64.7</v>
      </c>
      <c r="D4792" s="6">
        <v>61</v>
      </c>
      <c r="E4792" s="7">
        <f t="shared" si="74"/>
        <v>125.7</v>
      </c>
      <c r="F4792" s="8"/>
    </row>
    <row r="4793" spans="1:6" ht="18" customHeight="1">
      <c r="A4793" s="4" t="s">
        <v>164</v>
      </c>
      <c r="B4793" s="4" t="str">
        <f>"2020033428"</f>
        <v>2020033428</v>
      </c>
      <c r="C4793" s="5">
        <v>67</v>
      </c>
      <c r="D4793" s="6">
        <v>58.5</v>
      </c>
      <c r="E4793" s="7">
        <f t="shared" si="74"/>
        <v>125.5</v>
      </c>
      <c r="F4793" s="8"/>
    </row>
    <row r="4794" spans="1:6" ht="18" customHeight="1">
      <c r="A4794" s="4" t="s">
        <v>164</v>
      </c>
      <c r="B4794" s="4" t="str">
        <f>"2020042027"</f>
        <v>2020042027</v>
      </c>
      <c r="C4794" s="5">
        <v>57.5</v>
      </c>
      <c r="D4794" s="6">
        <v>67</v>
      </c>
      <c r="E4794" s="7">
        <f t="shared" si="74"/>
        <v>124.5</v>
      </c>
      <c r="F4794" s="8"/>
    </row>
    <row r="4795" spans="1:6" ht="18" customHeight="1">
      <c r="A4795" s="4" t="s">
        <v>164</v>
      </c>
      <c r="B4795" s="4" t="str">
        <f>"2020042727"</f>
        <v>2020042727</v>
      </c>
      <c r="C4795" s="5">
        <v>63.1</v>
      </c>
      <c r="D4795" s="6">
        <v>61</v>
      </c>
      <c r="E4795" s="7">
        <f t="shared" si="74"/>
        <v>124.1</v>
      </c>
      <c r="F4795" s="8"/>
    </row>
    <row r="4796" spans="1:6" ht="18" customHeight="1">
      <c r="A4796" s="4" t="s">
        <v>164</v>
      </c>
      <c r="B4796" s="4" t="str">
        <f>"2020033516"</f>
        <v>2020033516</v>
      </c>
      <c r="C4796" s="5">
        <v>72.5</v>
      </c>
      <c r="D4796" s="6">
        <v>51</v>
      </c>
      <c r="E4796" s="7">
        <f t="shared" si="74"/>
        <v>123.5</v>
      </c>
      <c r="F4796" s="8"/>
    </row>
    <row r="4797" spans="1:6" ht="18" customHeight="1">
      <c r="A4797" s="4" t="s">
        <v>164</v>
      </c>
      <c r="B4797" s="4" t="str">
        <f>"2020041117"</f>
        <v>2020041117</v>
      </c>
      <c r="C4797" s="5">
        <v>69.2</v>
      </c>
      <c r="D4797" s="6">
        <v>53.5</v>
      </c>
      <c r="E4797" s="7">
        <f t="shared" si="74"/>
        <v>122.7</v>
      </c>
      <c r="F4797" s="8"/>
    </row>
    <row r="4798" spans="1:6" ht="18" customHeight="1">
      <c r="A4798" s="4" t="s">
        <v>164</v>
      </c>
      <c r="B4798" s="4" t="str">
        <f>"2020040309"</f>
        <v>2020040309</v>
      </c>
      <c r="C4798" s="5">
        <v>58.3</v>
      </c>
      <c r="D4798" s="6">
        <v>64</v>
      </c>
      <c r="E4798" s="7">
        <f t="shared" si="74"/>
        <v>122.3</v>
      </c>
      <c r="F4798" s="8"/>
    </row>
    <row r="4799" spans="1:6" ht="18" customHeight="1">
      <c r="A4799" s="4" t="s">
        <v>164</v>
      </c>
      <c r="B4799" s="4" t="str">
        <f>"2020024011"</f>
        <v>2020024011</v>
      </c>
      <c r="C4799" s="5">
        <v>58.6</v>
      </c>
      <c r="D4799" s="6">
        <v>63</v>
      </c>
      <c r="E4799" s="7">
        <f t="shared" si="74"/>
        <v>121.6</v>
      </c>
      <c r="F4799" s="8"/>
    </row>
    <row r="4800" spans="1:6" ht="18" customHeight="1">
      <c r="A4800" s="4" t="s">
        <v>164</v>
      </c>
      <c r="B4800" s="4" t="str">
        <f>"2020034011"</f>
        <v>2020034011</v>
      </c>
      <c r="C4800" s="5">
        <v>68.2</v>
      </c>
      <c r="D4800" s="6">
        <v>53</v>
      </c>
      <c r="E4800" s="7">
        <f t="shared" si="74"/>
        <v>121.2</v>
      </c>
      <c r="F4800" s="8"/>
    </row>
    <row r="4801" spans="1:6" ht="18" customHeight="1">
      <c r="A4801" s="4" t="s">
        <v>164</v>
      </c>
      <c r="B4801" s="4" t="str">
        <f>"2020040608"</f>
        <v>2020040608</v>
      </c>
      <c r="C4801" s="5">
        <v>61.1</v>
      </c>
      <c r="D4801" s="6">
        <v>59.5</v>
      </c>
      <c r="E4801" s="7">
        <f t="shared" si="74"/>
        <v>120.6</v>
      </c>
      <c r="F4801" s="8"/>
    </row>
    <row r="4802" spans="1:6" ht="18" customHeight="1">
      <c r="A4802" s="4" t="s">
        <v>164</v>
      </c>
      <c r="B4802" s="4" t="str">
        <f>"2020041024"</f>
        <v>2020041024</v>
      </c>
      <c r="C4802" s="5">
        <v>66.099999999999994</v>
      </c>
      <c r="D4802" s="6">
        <v>52</v>
      </c>
      <c r="E4802" s="7">
        <f t="shared" si="74"/>
        <v>118.1</v>
      </c>
      <c r="F4802" s="8"/>
    </row>
    <row r="4803" spans="1:6" ht="18" customHeight="1">
      <c r="A4803" s="4" t="s">
        <v>164</v>
      </c>
      <c r="B4803" s="4" t="str">
        <f>"2020023725"</f>
        <v>2020023725</v>
      </c>
      <c r="C4803" s="5">
        <v>60.7</v>
      </c>
      <c r="D4803" s="6">
        <v>56</v>
      </c>
      <c r="E4803" s="7">
        <f t="shared" ref="E4803:E4866" si="75">SUM(C4803:D4803)</f>
        <v>116.7</v>
      </c>
      <c r="F4803" s="8"/>
    </row>
    <row r="4804" spans="1:6" ht="18" customHeight="1">
      <c r="A4804" s="4" t="s">
        <v>164</v>
      </c>
      <c r="B4804" s="4" t="str">
        <f>"2020044920"</f>
        <v>2020044920</v>
      </c>
      <c r="C4804" s="5">
        <v>60.7</v>
      </c>
      <c r="D4804" s="6">
        <v>55.5</v>
      </c>
      <c r="E4804" s="7">
        <f t="shared" si="75"/>
        <v>116.2</v>
      </c>
      <c r="F4804" s="8"/>
    </row>
    <row r="4805" spans="1:6" ht="18" customHeight="1">
      <c r="A4805" s="4" t="s">
        <v>164</v>
      </c>
      <c r="B4805" s="4" t="str">
        <f>"2020021429"</f>
        <v>2020021429</v>
      </c>
      <c r="C4805" s="5">
        <v>66.7</v>
      </c>
      <c r="D4805" s="6">
        <v>47.5</v>
      </c>
      <c r="E4805" s="7">
        <f t="shared" si="75"/>
        <v>114.2</v>
      </c>
      <c r="F4805" s="8"/>
    </row>
    <row r="4806" spans="1:6" ht="18" customHeight="1">
      <c r="A4806" s="4" t="s">
        <v>164</v>
      </c>
      <c r="B4806" s="4" t="str">
        <f>"2020042629"</f>
        <v>2020042629</v>
      </c>
      <c r="C4806" s="5">
        <v>60.6</v>
      </c>
      <c r="D4806" s="6">
        <v>53</v>
      </c>
      <c r="E4806" s="7">
        <f t="shared" si="75"/>
        <v>113.6</v>
      </c>
      <c r="F4806" s="8"/>
    </row>
    <row r="4807" spans="1:6" ht="18" customHeight="1">
      <c r="A4807" s="4" t="s">
        <v>164</v>
      </c>
      <c r="B4807" s="4" t="str">
        <f>"2020043312"</f>
        <v>2020043312</v>
      </c>
      <c r="C4807" s="5">
        <v>60.6</v>
      </c>
      <c r="D4807" s="6">
        <v>52.5</v>
      </c>
      <c r="E4807" s="7">
        <f t="shared" si="75"/>
        <v>113.1</v>
      </c>
      <c r="F4807" s="8"/>
    </row>
    <row r="4808" spans="1:6" ht="18" customHeight="1">
      <c r="A4808" s="4" t="s">
        <v>164</v>
      </c>
      <c r="B4808" s="4" t="str">
        <f>"2020013229"</f>
        <v>2020013229</v>
      </c>
      <c r="C4808" s="5">
        <v>62</v>
      </c>
      <c r="D4808" s="6">
        <v>51</v>
      </c>
      <c r="E4808" s="7">
        <f t="shared" si="75"/>
        <v>113</v>
      </c>
      <c r="F4808" s="8"/>
    </row>
    <row r="4809" spans="1:6" ht="18" customHeight="1">
      <c r="A4809" s="4" t="s">
        <v>164</v>
      </c>
      <c r="B4809" s="4" t="str">
        <f>"2020012914"</f>
        <v>2020012914</v>
      </c>
      <c r="C4809" s="5">
        <v>57.2</v>
      </c>
      <c r="D4809" s="6">
        <v>55.5</v>
      </c>
      <c r="E4809" s="7">
        <f t="shared" si="75"/>
        <v>112.7</v>
      </c>
      <c r="F4809" s="8"/>
    </row>
    <row r="4810" spans="1:6" ht="18" customHeight="1">
      <c r="A4810" s="4" t="s">
        <v>164</v>
      </c>
      <c r="B4810" s="4" t="str">
        <f>"2020045827"</f>
        <v>2020045827</v>
      </c>
      <c r="C4810" s="5">
        <v>64.599999999999994</v>
      </c>
      <c r="D4810" s="6">
        <v>48</v>
      </c>
      <c r="E4810" s="7">
        <f t="shared" si="75"/>
        <v>112.6</v>
      </c>
      <c r="F4810" s="8"/>
    </row>
    <row r="4811" spans="1:6" ht="18" customHeight="1">
      <c r="A4811" s="4" t="s">
        <v>164</v>
      </c>
      <c r="B4811" s="4" t="str">
        <f>"2020023406"</f>
        <v>2020023406</v>
      </c>
      <c r="C4811" s="5">
        <v>55</v>
      </c>
      <c r="D4811" s="6">
        <v>55.5</v>
      </c>
      <c r="E4811" s="7">
        <f t="shared" si="75"/>
        <v>110.5</v>
      </c>
      <c r="F4811" s="8"/>
    </row>
    <row r="4812" spans="1:6" ht="18" customHeight="1">
      <c r="A4812" s="4" t="s">
        <v>164</v>
      </c>
      <c r="B4812" s="4" t="str">
        <f>"2020011801"</f>
        <v>2020011801</v>
      </c>
      <c r="C4812" s="5">
        <v>59.7</v>
      </c>
      <c r="D4812" s="6">
        <v>50</v>
      </c>
      <c r="E4812" s="7">
        <f t="shared" si="75"/>
        <v>109.7</v>
      </c>
      <c r="F4812" s="8"/>
    </row>
    <row r="4813" spans="1:6" ht="18" customHeight="1">
      <c r="A4813" s="4" t="s">
        <v>164</v>
      </c>
      <c r="B4813" s="4" t="str">
        <f>"2020020713"</f>
        <v>2020020713</v>
      </c>
      <c r="C4813" s="5">
        <v>56.7</v>
      </c>
      <c r="D4813" s="6">
        <v>52.5</v>
      </c>
      <c r="E4813" s="7">
        <f t="shared" si="75"/>
        <v>109.2</v>
      </c>
      <c r="F4813" s="8"/>
    </row>
    <row r="4814" spans="1:6" ht="18" customHeight="1">
      <c r="A4814" s="4" t="s">
        <v>164</v>
      </c>
      <c r="B4814" s="4" t="str">
        <f>"2020011112"</f>
        <v>2020011112</v>
      </c>
      <c r="C4814" s="5">
        <v>57.7</v>
      </c>
      <c r="D4814" s="6">
        <v>51</v>
      </c>
      <c r="E4814" s="7">
        <f t="shared" si="75"/>
        <v>108.7</v>
      </c>
      <c r="F4814" s="8"/>
    </row>
    <row r="4815" spans="1:6" ht="18" customHeight="1">
      <c r="A4815" s="4" t="s">
        <v>164</v>
      </c>
      <c r="B4815" s="4" t="str">
        <f>"2020021912"</f>
        <v>2020021912</v>
      </c>
      <c r="C4815" s="5">
        <v>53.1</v>
      </c>
      <c r="D4815" s="6">
        <v>55.5</v>
      </c>
      <c r="E4815" s="7">
        <f t="shared" si="75"/>
        <v>108.6</v>
      </c>
      <c r="F4815" s="8"/>
    </row>
    <row r="4816" spans="1:6" ht="18" customHeight="1">
      <c r="A4816" s="4" t="s">
        <v>164</v>
      </c>
      <c r="B4816" s="4" t="str">
        <f>"2020012614"</f>
        <v>2020012614</v>
      </c>
      <c r="C4816" s="5">
        <v>58.7</v>
      </c>
      <c r="D4816" s="6">
        <v>47</v>
      </c>
      <c r="E4816" s="7">
        <f t="shared" si="75"/>
        <v>105.7</v>
      </c>
      <c r="F4816" s="8"/>
    </row>
    <row r="4817" spans="1:6" ht="18" customHeight="1">
      <c r="A4817" s="4" t="s">
        <v>164</v>
      </c>
      <c r="B4817" s="4" t="str">
        <f>"2020013811"</f>
        <v>2020013811</v>
      </c>
      <c r="C4817" s="5">
        <v>56.5</v>
      </c>
      <c r="D4817" s="6">
        <v>48.5</v>
      </c>
      <c r="E4817" s="7">
        <f t="shared" si="75"/>
        <v>105</v>
      </c>
      <c r="F4817" s="8"/>
    </row>
    <row r="4818" spans="1:6" ht="18" customHeight="1">
      <c r="A4818" s="4" t="s">
        <v>164</v>
      </c>
      <c r="B4818" s="4" t="str">
        <f>"2020043807"</f>
        <v>2020043807</v>
      </c>
      <c r="C4818" s="5">
        <v>59.4</v>
      </c>
      <c r="D4818" s="6">
        <v>45.5</v>
      </c>
      <c r="E4818" s="7">
        <f t="shared" si="75"/>
        <v>104.9</v>
      </c>
      <c r="F4818" s="8"/>
    </row>
    <row r="4819" spans="1:6" ht="18" customHeight="1">
      <c r="A4819" s="4" t="s">
        <v>164</v>
      </c>
      <c r="B4819" s="4" t="str">
        <f>"2020010113"</f>
        <v>2020010113</v>
      </c>
      <c r="C4819" s="5">
        <v>56.6</v>
      </c>
      <c r="D4819" s="6">
        <v>48</v>
      </c>
      <c r="E4819" s="7">
        <f t="shared" si="75"/>
        <v>104.6</v>
      </c>
      <c r="F4819" s="8"/>
    </row>
    <row r="4820" spans="1:6" ht="18" customHeight="1">
      <c r="A4820" s="4" t="s">
        <v>164</v>
      </c>
      <c r="B4820" s="4" t="str">
        <f>"2020034028"</f>
        <v>2020034028</v>
      </c>
      <c r="C4820" s="5">
        <v>56.2</v>
      </c>
      <c r="D4820" s="6">
        <v>47</v>
      </c>
      <c r="E4820" s="7">
        <f t="shared" si="75"/>
        <v>103.2</v>
      </c>
      <c r="F4820" s="8"/>
    </row>
    <row r="4821" spans="1:6" ht="18" customHeight="1">
      <c r="A4821" s="4" t="s">
        <v>164</v>
      </c>
      <c r="B4821" s="4" t="str">
        <f>"2020042801"</f>
        <v>2020042801</v>
      </c>
      <c r="C4821" s="5">
        <v>55.6</v>
      </c>
      <c r="D4821" s="6">
        <v>47.5</v>
      </c>
      <c r="E4821" s="7">
        <f t="shared" si="75"/>
        <v>103.1</v>
      </c>
      <c r="F4821" s="8"/>
    </row>
    <row r="4822" spans="1:6" ht="18" customHeight="1">
      <c r="A4822" s="4" t="s">
        <v>164</v>
      </c>
      <c r="B4822" s="4" t="str">
        <f>"2020045011"</f>
        <v>2020045011</v>
      </c>
      <c r="C4822" s="5">
        <v>52.5</v>
      </c>
      <c r="D4822" s="6">
        <v>49</v>
      </c>
      <c r="E4822" s="7">
        <f t="shared" si="75"/>
        <v>101.5</v>
      </c>
      <c r="F4822" s="8"/>
    </row>
    <row r="4823" spans="1:6" ht="18" customHeight="1">
      <c r="A4823" s="4" t="s">
        <v>164</v>
      </c>
      <c r="B4823" s="4" t="str">
        <f>"2020010516"</f>
        <v>2020010516</v>
      </c>
      <c r="C4823" s="5">
        <v>0</v>
      </c>
      <c r="D4823" s="6">
        <v>0</v>
      </c>
      <c r="E4823" s="7">
        <f t="shared" si="75"/>
        <v>0</v>
      </c>
      <c r="F4823" s="9" t="s">
        <v>8</v>
      </c>
    </row>
    <row r="4824" spans="1:6" ht="18" customHeight="1">
      <c r="A4824" s="4" t="s">
        <v>164</v>
      </c>
      <c r="B4824" s="4" t="str">
        <f>"2020012712"</f>
        <v>2020012712</v>
      </c>
      <c r="C4824" s="5">
        <v>0</v>
      </c>
      <c r="D4824" s="6">
        <v>0</v>
      </c>
      <c r="E4824" s="7">
        <f t="shared" si="75"/>
        <v>0</v>
      </c>
      <c r="F4824" s="9" t="s">
        <v>8</v>
      </c>
    </row>
    <row r="4825" spans="1:6" ht="18" customHeight="1">
      <c r="A4825" s="4" t="s">
        <v>164</v>
      </c>
      <c r="B4825" s="4" t="str">
        <f>"2020012908"</f>
        <v>2020012908</v>
      </c>
      <c r="C4825" s="5">
        <v>0</v>
      </c>
      <c r="D4825" s="6">
        <v>0</v>
      </c>
      <c r="E4825" s="7">
        <f t="shared" si="75"/>
        <v>0</v>
      </c>
      <c r="F4825" s="9" t="s">
        <v>8</v>
      </c>
    </row>
    <row r="4826" spans="1:6" ht="18" customHeight="1">
      <c r="A4826" s="4" t="s">
        <v>164</v>
      </c>
      <c r="B4826" s="4" t="str">
        <f>"2020023114"</f>
        <v>2020023114</v>
      </c>
      <c r="C4826" s="5">
        <v>0</v>
      </c>
      <c r="D4826" s="6">
        <v>0</v>
      </c>
      <c r="E4826" s="7">
        <f t="shared" si="75"/>
        <v>0</v>
      </c>
      <c r="F4826" s="8" t="s">
        <v>8</v>
      </c>
    </row>
    <row r="4827" spans="1:6" ht="18" customHeight="1">
      <c r="A4827" s="4" t="s">
        <v>164</v>
      </c>
      <c r="B4827" s="4" t="str">
        <f>"2020023823"</f>
        <v>2020023823</v>
      </c>
      <c r="C4827" s="5">
        <v>0</v>
      </c>
      <c r="D4827" s="6">
        <v>0</v>
      </c>
      <c r="E4827" s="7">
        <f t="shared" si="75"/>
        <v>0</v>
      </c>
      <c r="F4827" s="8" t="s">
        <v>8</v>
      </c>
    </row>
    <row r="4828" spans="1:6" ht="18" customHeight="1">
      <c r="A4828" s="4" t="s">
        <v>164</v>
      </c>
      <c r="B4828" s="4" t="str">
        <f>"2020031511"</f>
        <v>2020031511</v>
      </c>
      <c r="C4828" s="5">
        <v>0</v>
      </c>
      <c r="D4828" s="6">
        <v>0</v>
      </c>
      <c r="E4828" s="7">
        <f t="shared" si="75"/>
        <v>0</v>
      </c>
      <c r="F4828" s="8" t="s">
        <v>8</v>
      </c>
    </row>
    <row r="4829" spans="1:6" ht="18" customHeight="1">
      <c r="A4829" s="4" t="s">
        <v>164</v>
      </c>
      <c r="B4829" s="4" t="str">
        <f>"2020032406"</f>
        <v>2020032406</v>
      </c>
      <c r="C4829" s="5">
        <v>0</v>
      </c>
      <c r="D4829" s="6">
        <v>0</v>
      </c>
      <c r="E4829" s="7">
        <f t="shared" si="75"/>
        <v>0</v>
      </c>
      <c r="F4829" s="8" t="s">
        <v>8</v>
      </c>
    </row>
    <row r="4830" spans="1:6" ht="18" customHeight="1">
      <c r="A4830" s="4" t="s">
        <v>164</v>
      </c>
      <c r="B4830" s="4" t="str">
        <f>"2020034025"</f>
        <v>2020034025</v>
      </c>
      <c r="C4830" s="5">
        <v>0</v>
      </c>
      <c r="D4830" s="6">
        <v>0</v>
      </c>
      <c r="E4830" s="7">
        <f t="shared" si="75"/>
        <v>0</v>
      </c>
      <c r="F4830" s="8" t="s">
        <v>8</v>
      </c>
    </row>
    <row r="4831" spans="1:6" ht="18" customHeight="1">
      <c r="A4831" s="4" t="s">
        <v>164</v>
      </c>
      <c r="B4831" s="4" t="str">
        <f>"2020040424"</f>
        <v>2020040424</v>
      </c>
      <c r="C4831" s="5">
        <v>0</v>
      </c>
      <c r="D4831" s="6">
        <v>0</v>
      </c>
      <c r="E4831" s="7">
        <f t="shared" si="75"/>
        <v>0</v>
      </c>
      <c r="F4831" s="8" t="s">
        <v>8</v>
      </c>
    </row>
    <row r="4832" spans="1:6" ht="18" customHeight="1">
      <c r="A4832" s="4" t="s">
        <v>164</v>
      </c>
      <c r="B4832" s="4" t="str">
        <f>"2020041108"</f>
        <v>2020041108</v>
      </c>
      <c r="C4832" s="5">
        <v>0</v>
      </c>
      <c r="D4832" s="6">
        <v>0</v>
      </c>
      <c r="E4832" s="7">
        <f t="shared" si="75"/>
        <v>0</v>
      </c>
      <c r="F4832" s="8" t="s">
        <v>8</v>
      </c>
    </row>
    <row r="4833" spans="1:6" ht="18" customHeight="1">
      <c r="A4833" s="4" t="s">
        <v>164</v>
      </c>
      <c r="B4833" s="4" t="str">
        <f>"2020041701"</f>
        <v>2020041701</v>
      </c>
      <c r="C4833" s="5">
        <v>0</v>
      </c>
      <c r="D4833" s="6">
        <v>0</v>
      </c>
      <c r="E4833" s="7">
        <f t="shared" si="75"/>
        <v>0</v>
      </c>
      <c r="F4833" s="8" t="s">
        <v>8</v>
      </c>
    </row>
    <row r="4834" spans="1:6" ht="18" customHeight="1">
      <c r="A4834" s="4" t="s">
        <v>164</v>
      </c>
      <c r="B4834" s="4" t="str">
        <f>"2020042329"</f>
        <v>2020042329</v>
      </c>
      <c r="C4834" s="5">
        <v>0</v>
      </c>
      <c r="D4834" s="6">
        <v>0</v>
      </c>
      <c r="E4834" s="7">
        <f t="shared" si="75"/>
        <v>0</v>
      </c>
      <c r="F4834" s="8" t="s">
        <v>8</v>
      </c>
    </row>
    <row r="4835" spans="1:6" ht="18" customHeight="1">
      <c r="A4835" s="4" t="s">
        <v>164</v>
      </c>
      <c r="B4835" s="4" t="str">
        <f>"2020043014"</f>
        <v>2020043014</v>
      </c>
      <c r="C4835" s="5">
        <v>0</v>
      </c>
      <c r="D4835" s="6">
        <v>0</v>
      </c>
      <c r="E4835" s="7">
        <f t="shared" si="75"/>
        <v>0</v>
      </c>
      <c r="F4835" s="8" t="s">
        <v>8</v>
      </c>
    </row>
    <row r="4836" spans="1:6" ht="18" customHeight="1">
      <c r="A4836" s="4" t="s">
        <v>164</v>
      </c>
      <c r="B4836" s="4" t="str">
        <f>"2020043111"</f>
        <v>2020043111</v>
      </c>
      <c r="C4836" s="5">
        <v>0</v>
      </c>
      <c r="D4836" s="6">
        <v>0</v>
      </c>
      <c r="E4836" s="7">
        <f t="shared" si="75"/>
        <v>0</v>
      </c>
      <c r="F4836" s="8" t="s">
        <v>8</v>
      </c>
    </row>
    <row r="4837" spans="1:6" ht="18" customHeight="1">
      <c r="A4837" s="4" t="s">
        <v>164</v>
      </c>
      <c r="B4837" s="4" t="str">
        <f>"2020044415"</f>
        <v>2020044415</v>
      </c>
      <c r="C4837" s="5">
        <v>0</v>
      </c>
      <c r="D4837" s="6">
        <v>0</v>
      </c>
      <c r="E4837" s="7">
        <f t="shared" si="75"/>
        <v>0</v>
      </c>
      <c r="F4837" s="8" t="s">
        <v>8</v>
      </c>
    </row>
    <row r="4838" spans="1:6" ht="18" customHeight="1">
      <c r="A4838" s="4" t="s">
        <v>164</v>
      </c>
      <c r="B4838" s="4" t="str">
        <f>"2020045318"</f>
        <v>2020045318</v>
      </c>
      <c r="C4838" s="5">
        <v>0</v>
      </c>
      <c r="D4838" s="6">
        <v>0</v>
      </c>
      <c r="E4838" s="7">
        <f t="shared" si="75"/>
        <v>0</v>
      </c>
      <c r="F4838" s="8" t="s">
        <v>8</v>
      </c>
    </row>
    <row r="4839" spans="1:6" ht="18" customHeight="1">
      <c r="A4839" s="4" t="s">
        <v>164</v>
      </c>
      <c r="B4839" s="4" t="str">
        <f>"2020047212"</f>
        <v>2020047212</v>
      </c>
      <c r="C4839" s="5">
        <v>0</v>
      </c>
      <c r="D4839" s="6">
        <v>0</v>
      </c>
      <c r="E4839" s="7">
        <f t="shared" si="75"/>
        <v>0</v>
      </c>
      <c r="F4839" s="8" t="s">
        <v>8</v>
      </c>
    </row>
    <row r="4840" spans="1:6" ht="18" customHeight="1">
      <c r="A4840" s="4" t="s">
        <v>165</v>
      </c>
      <c r="B4840" s="4" t="str">
        <f>"2020042504"</f>
        <v>2020042504</v>
      </c>
      <c r="C4840" s="5">
        <v>77.3</v>
      </c>
      <c r="D4840" s="6">
        <v>75</v>
      </c>
      <c r="E4840" s="7">
        <f t="shared" si="75"/>
        <v>152.30000000000001</v>
      </c>
      <c r="F4840" s="8"/>
    </row>
    <row r="4841" spans="1:6" ht="18" customHeight="1">
      <c r="A4841" s="4" t="s">
        <v>165</v>
      </c>
      <c r="B4841" s="4" t="str">
        <f>"2020021717"</f>
        <v>2020021717</v>
      </c>
      <c r="C4841" s="5">
        <v>74.099999999999994</v>
      </c>
      <c r="D4841" s="6">
        <v>75</v>
      </c>
      <c r="E4841" s="7">
        <f t="shared" si="75"/>
        <v>149.1</v>
      </c>
      <c r="F4841" s="8"/>
    </row>
    <row r="4842" spans="1:6" ht="18" customHeight="1">
      <c r="A4842" s="4" t="s">
        <v>165</v>
      </c>
      <c r="B4842" s="4" t="str">
        <f>"2020010610"</f>
        <v>2020010610</v>
      </c>
      <c r="C4842" s="5">
        <v>71.7</v>
      </c>
      <c r="D4842" s="6">
        <v>77</v>
      </c>
      <c r="E4842" s="7">
        <f t="shared" si="75"/>
        <v>148.69999999999999</v>
      </c>
      <c r="F4842" s="8"/>
    </row>
    <row r="4843" spans="1:6" ht="18" customHeight="1">
      <c r="A4843" s="4" t="s">
        <v>165</v>
      </c>
      <c r="B4843" s="4" t="str">
        <f>"2020012420"</f>
        <v>2020012420</v>
      </c>
      <c r="C4843" s="5">
        <v>68</v>
      </c>
      <c r="D4843" s="6">
        <v>80</v>
      </c>
      <c r="E4843" s="7">
        <f t="shared" si="75"/>
        <v>148</v>
      </c>
      <c r="F4843" s="8"/>
    </row>
    <row r="4844" spans="1:6" ht="18" customHeight="1">
      <c r="A4844" s="4" t="s">
        <v>165</v>
      </c>
      <c r="B4844" s="4" t="str">
        <f>"2020040224"</f>
        <v>2020040224</v>
      </c>
      <c r="C4844" s="5">
        <v>71.8</v>
      </c>
      <c r="D4844" s="6">
        <v>76</v>
      </c>
      <c r="E4844" s="7">
        <f t="shared" si="75"/>
        <v>147.80000000000001</v>
      </c>
      <c r="F4844" s="8"/>
    </row>
    <row r="4845" spans="1:6" ht="18" customHeight="1">
      <c r="A4845" s="4" t="s">
        <v>165</v>
      </c>
      <c r="B4845" s="4" t="str">
        <f>"2020010109"</f>
        <v>2020010109</v>
      </c>
      <c r="C4845" s="5">
        <v>70.8</v>
      </c>
      <c r="D4845" s="6">
        <v>75.5</v>
      </c>
      <c r="E4845" s="7">
        <f t="shared" si="75"/>
        <v>146.30000000000001</v>
      </c>
      <c r="F4845" s="8"/>
    </row>
    <row r="4846" spans="1:6" ht="18" customHeight="1">
      <c r="A4846" s="4" t="s">
        <v>165</v>
      </c>
      <c r="B4846" s="4" t="str">
        <f>"2020046107"</f>
        <v>2020046107</v>
      </c>
      <c r="C4846" s="5">
        <v>67.2</v>
      </c>
      <c r="D4846" s="6">
        <v>79</v>
      </c>
      <c r="E4846" s="7">
        <f t="shared" si="75"/>
        <v>146.19999999999999</v>
      </c>
      <c r="F4846" s="8"/>
    </row>
    <row r="4847" spans="1:6" ht="18" customHeight="1">
      <c r="A4847" s="4" t="s">
        <v>165</v>
      </c>
      <c r="B4847" s="4" t="str">
        <f>"2020042709"</f>
        <v>2020042709</v>
      </c>
      <c r="C4847" s="5">
        <v>69.2</v>
      </c>
      <c r="D4847" s="6">
        <v>75</v>
      </c>
      <c r="E4847" s="7">
        <f t="shared" si="75"/>
        <v>144.19999999999999</v>
      </c>
      <c r="F4847" s="8"/>
    </row>
    <row r="4848" spans="1:6" ht="18" customHeight="1">
      <c r="A4848" s="4" t="s">
        <v>165</v>
      </c>
      <c r="B4848" s="4" t="str">
        <f>"2020023716"</f>
        <v>2020023716</v>
      </c>
      <c r="C4848" s="5">
        <v>76.599999999999994</v>
      </c>
      <c r="D4848" s="6">
        <v>66.5</v>
      </c>
      <c r="E4848" s="7">
        <f t="shared" si="75"/>
        <v>143.1</v>
      </c>
      <c r="F4848" s="8"/>
    </row>
    <row r="4849" spans="1:6" ht="18" customHeight="1">
      <c r="A4849" s="4" t="s">
        <v>165</v>
      </c>
      <c r="B4849" s="4" t="str">
        <f>"2020042306"</f>
        <v>2020042306</v>
      </c>
      <c r="C4849" s="5">
        <v>72</v>
      </c>
      <c r="D4849" s="6">
        <v>71</v>
      </c>
      <c r="E4849" s="7">
        <f t="shared" si="75"/>
        <v>143</v>
      </c>
      <c r="F4849" s="8"/>
    </row>
    <row r="4850" spans="1:6" ht="18" customHeight="1">
      <c r="A4850" s="4" t="s">
        <v>165</v>
      </c>
      <c r="B4850" s="4" t="str">
        <f>"2020011211"</f>
        <v>2020011211</v>
      </c>
      <c r="C4850" s="5">
        <v>72.900000000000006</v>
      </c>
      <c r="D4850" s="6">
        <v>70</v>
      </c>
      <c r="E4850" s="7">
        <f t="shared" si="75"/>
        <v>142.9</v>
      </c>
      <c r="F4850" s="8"/>
    </row>
    <row r="4851" spans="1:6" ht="18" customHeight="1">
      <c r="A4851" s="4" t="s">
        <v>165</v>
      </c>
      <c r="B4851" s="4" t="str">
        <f>"2020042511"</f>
        <v>2020042511</v>
      </c>
      <c r="C4851" s="5">
        <v>62.4</v>
      </c>
      <c r="D4851" s="6">
        <v>80.5</v>
      </c>
      <c r="E4851" s="7">
        <f t="shared" si="75"/>
        <v>142.9</v>
      </c>
      <c r="F4851" s="8"/>
    </row>
    <row r="4852" spans="1:6" ht="18" customHeight="1">
      <c r="A4852" s="4" t="s">
        <v>165</v>
      </c>
      <c r="B4852" s="4" t="str">
        <f>"2020024219"</f>
        <v>2020024219</v>
      </c>
      <c r="C4852" s="5">
        <v>72.2</v>
      </c>
      <c r="D4852" s="6">
        <v>70</v>
      </c>
      <c r="E4852" s="7">
        <f t="shared" si="75"/>
        <v>142.19999999999999</v>
      </c>
      <c r="F4852" s="8"/>
    </row>
    <row r="4853" spans="1:6" ht="18" customHeight="1">
      <c r="A4853" s="4" t="s">
        <v>165</v>
      </c>
      <c r="B4853" s="4" t="str">
        <f>"2020042924"</f>
        <v>2020042924</v>
      </c>
      <c r="C4853" s="5">
        <v>69.900000000000006</v>
      </c>
      <c r="D4853" s="6">
        <v>71.5</v>
      </c>
      <c r="E4853" s="7">
        <f t="shared" si="75"/>
        <v>141.4</v>
      </c>
      <c r="F4853" s="8"/>
    </row>
    <row r="4854" spans="1:6" ht="18" customHeight="1">
      <c r="A4854" s="4" t="s">
        <v>165</v>
      </c>
      <c r="B4854" s="4" t="str">
        <f>"2020030912"</f>
        <v>2020030912</v>
      </c>
      <c r="C4854" s="5">
        <v>64.7</v>
      </c>
      <c r="D4854" s="6">
        <v>76.5</v>
      </c>
      <c r="E4854" s="7">
        <f t="shared" si="75"/>
        <v>141.19999999999999</v>
      </c>
      <c r="F4854" s="8"/>
    </row>
    <row r="4855" spans="1:6" ht="18" customHeight="1">
      <c r="A4855" s="4" t="s">
        <v>165</v>
      </c>
      <c r="B4855" s="4" t="str">
        <f>"2020031613"</f>
        <v>2020031613</v>
      </c>
      <c r="C4855" s="5">
        <v>67.900000000000006</v>
      </c>
      <c r="D4855" s="6">
        <v>72</v>
      </c>
      <c r="E4855" s="7">
        <f t="shared" si="75"/>
        <v>139.9</v>
      </c>
      <c r="F4855" s="8"/>
    </row>
    <row r="4856" spans="1:6" ht="18" customHeight="1">
      <c r="A4856" s="4" t="s">
        <v>165</v>
      </c>
      <c r="B4856" s="4" t="str">
        <f>"2020013019"</f>
        <v>2020013019</v>
      </c>
      <c r="C4856" s="5">
        <v>64.400000000000006</v>
      </c>
      <c r="D4856" s="6">
        <v>74.5</v>
      </c>
      <c r="E4856" s="7">
        <f t="shared" si="75"/>
        <v>138.9</v>
      </c>
      <c r="F4856" s="8"/>
    </row>
    <row r="4857" spans="1:6" ht="18" customHeight="1">
      <c r="A4857" s="4" t="s">
        <v>165</v>
      </c>
      <c r="B4857" s="4" t="str">
        <f>"2020044612"</f>
        <v>2020044612</v>
      </c>
      <c r="C4857" s="5">
        <v>70.099999999999994</v>
      </c>
      <c r="D4857" s="6">
        <v>68</v>
      </c>
      <c r="E4857" s="7">
        <f t="shared" si="75"/>
        <v>138.1</v>
      </c>
      <c r="F4857" s="8"/>
    </row>
    <row r="4858" spans="1:6" ht="18" customHeight="1">
      <c r="A4858" s="4" t="s">
        <v>165</v>
      </c>
      <c r="B4858" s="4" t="str">
        <f>"2020021004"</f>
        <v>2020021004</v>
      </c>
      <c r="C4858" s="5">
        <v>70.5</v>
      </c>
      <c r="D4858" s="6">
        <v>67.5</v>
      </c>
      <c r="E4858" s="7">
        <f t="shared" si="75"/>
        <v>138</v>
      </c>
      <c r="F4858" s="8"/>
    </row>
    <row r="4859" spans="1:6" ht="18" customHeight="1">
      <c r="A4859" s="4" t="s">
        <v>165</v>
      </c>
      <c r="B4859" s="4" t="str">
        <f>"2020012825"</f>
        <v>2020012825</v>
      </c>
      <c r="C4859" s="5">
        <v>66.8</v>
      </c>
      <c r="D4859" s="6">
        <v>70.5</v>
      </c>
      <c r="E4859" s="7">
        <f t="shared" si="75"/>
        <v>137.30000000000001</v>
      </c>
      <c r="F4859" s="8"/>
    </row>
    <row r="4860" spans="1:6" ht="18" customHeight="1">
      <c r="A4860" s="4" t="s">
        <v>165</v>
      </c>
      <c r="B4860" s="4" t="str">
        <f>"2020013103"</f>
        <v>2020013103</v>
      </c>
      <c r="C4860" s="5">
        <v>67.400000000000006</v>
      </c>
      <c r="D4860" s="6">
        <v>69.5</v>
      </c>
      <c r="E4860" s="7">
        <f t="shared" si="75"/>
        <v>136.9</v>
      </c>
      <c r="F4860" s="8"/>
    </row>
    <row r="4861" spans="1:6" ht="18" customHeight="1">
      <c r="A4861" s="4" t="s">
        <v>165</v>
      </c>
      <c r="B4861" s="4" t="str">
        <f>"2020042522"</f>
        <v>2020042522</v>
      </c>
      <c r="C4861" s="5">
        <v>60.6</v>
      </c>
      <c r="D4861" s="6">
        <v>74.5</v>
      </c>
      <c r="E4861" s="7">
        <f t="shared" si="75"/>
        <v>135.1</v>
      </c>
      <c r="F4861" s="8"/>
    </row>
    <row r="4862" spans="1:6" ht="18" customHeight="1">
      <c r="A4862" s="4" t="s">
        <v>165</v>
      </c>
      <c r="B4862" s="4" t="str">
        <f>"2020033104"</f>
        <v>2020033104</v>
      </c>
      <c r="C4862" s="5">
        <v>71</v>
      </c>
      <c r="D4862" s="6">
        <v>63.5</v>
      </c>
      <c r="E4862" s="7">
        <f t="shared" si="75"/>
        <v>134.5</v>
      </c>
      <c r="F4862" s="8"/>
    </row>
    <row r="4863" spans="1:6" ht="18" customHeight="1">
      <c r="A4863" s="4" t="s">
        <v>165</v>
      </c>
      <c r="B4863" s="4" t="str">
        <f>"2020042704"</f>
        <v>2020042704</v>
      </c>
      <c r="C4863" s="5">
        <v>62.9</v>
      </c>
      <c r="D4863" s="6">
        <v>71.5</v>
      </c>
      <c r="E4863" s="7">
        <f t="shared" si="75"/>
        <v>134.4</v>
      </c>
      <c r="F4863" s="8"/>
    </row>
    <row r="4864" spans="1:6" ht="18" customHeight="1">
      <c r="A4864" s="4" t="s">
        <v>165</v>
      </c>
      <c r="B4864" s="4" t="str">
        <f>"2020046121"</f>
        <v>2020046121</v>
      </c>
      <c r="C4864" s="5">
        <v>67.8</v>
      </c>
      <c r="D4864" s="6">
        <v>65.5</v>
      </c>
      <c r="E4864" s="7">
        <f t="shared" si="75"/>
        <v>133.30000000000001</v>
      </c>
      <c r="F4864" s="8"/>
    </row>
    <row r="4865" spans="1:6" ht="18" customHeight="1">
      <c r="A4865" s="4" t="s">
        <v>165</v>
      </c>
      <c r="B4865" s="4" t="str">
        <f>"2020023209"</f>
        <v>2020023209</v>
      </c>
      <c r="C4865" s="5">
        <v>66.099999999999994</v>
      </c>
      <c r="D4865" s="6">
        <v>67</v>
      </c>
      <c r="E4865" s="7">
        <f t="shared" si="75"/>
        <v>133.1</v>
      </c>
      <c r="F4865" s="8"/>
    </row>
    <row r="4866" spans="1:6" ht="18" customHeight="1">
      <c r="A4866" s="4" t="s">
        <v>165</v>
      </c>
      <c r="B4866" s="4" t="str">
        <f>"2020032604"</f>
        <v>2020032604</v>
      </c>
      <c r="C4866" s="5">
        <v>67.099999999999994</v>
      </c>
      <c r="D4866" s="6">
        <v>65.5</v>
      </c>
      <c r="E4866" s="7">
        <f t="shared" si="75"/>
        <v>132.6</v>
      </c>
      <c r="F4866" s="8"/>
    </row>
    <row r="4867" spans="1:6" ht="18" customHeight="1">
      <c r="A4867" s="4" t="s">
        <v>165</v>
      </c>
      <c r="B4867" s="4" t="str">
        <f>"2020010723"</f>
        <v>2020010723</v>
      </c>
      <c r="C4867" s="5">
        <v>65.7</v>
      </c>
      <c r="D4867" s="6">
        <v>66</v>
      </c>
      <c r="E4867" s="7">
        <f t="shared" ref="E4867:E4930" si="76">SUM(C4867:D4867)</f>
        <v>131.69999999999999</v>
      </c>
      <c r="F4867" s="8"/>
    </row>
    <row r="4868" spans="1:6" ht="18" customHeight="1">
      <c r="A4868" s="4" t="s">
        <v>165</v>
      </c>
      <c r="B4868" s="4" t="str">
        <f>"2020012912"</f>
        <v>2020012912</v>
      </c>
      <c r="C4868" s="5">
        <v>67.2</v>
      </c>
      <c r="D4868" s="6">
        <v>64</v>
      </c>
      <c r="E4868" s="7">
        <f t="shared" si="76"/>
        <v>131.19999999999999</v>
      </c>
      <c r="F4868" s="8"/>
    </row>
    <row r="4869" spans="1:6" ht="18" customHeight="1">
      <c r="A4869" s="4" t="s">
        <v>165</v>
      </c>
      <c r="B4869" s="4" t="str">
        <f>"2020021117"</f>
        <v>2020021117</v>
      </c>
      <c r="C4869" s="5">
        <v>63.1</v>
      </c>
      <c r="D4869" s="6">
        <v>68</v>
      </c>
      <c r="E4869" s="7">
        <f t="shared" si="76"/>
        <v>131.1</v>
      </c>
      <c r="F4869" s="8"/>
    </row>
    <row r="4870" spans="1:6" ht="18" customHeight="1">
      <c r="A4870" s="4" t="s">
        <v>165</v>
      </c>
      <c r="B4870" s="4" t="str">
        <f>"2020045321"</f>
        <v>2020045321</v>
      </c>
      <c r="C4870" s="5">
        <v>67.3</v>
      </c>
      <c r="D4870" s="6">
        <v>63</v>
      </c>
      <c r="E4870" s="7">
        <f t="shared" si="76"/>
        <v>130.30000000000001</v>
      </c>
      <c r="F4870" s="8"/>
    </row>
    <row r="4871" spans="1:6" ht="18" customHeight="1">
      <c r="A4871" s="4" t="s">
        <v>165</v>
      </c>
      <c r="B4871" s="4" t="str">
        <f>"2020040203"</f>
        <v>2020040203</v>
      </c>
      <c r="C4871" s="5">
        <v>73.2</v>
      </c>
      <c r="D4871" s="6">
        <v>57</v>
      </c>
      <c r="E4871" s="7">
        <f t="shared" si="76"/>
        <v>130.19999999999999</v>
      </c>
      <c r="F4871" s="8"/>
    </row>
    <row r="4872" spans="1:6" ht="18" customHeight="1">
      <c r="A4872" s="4" t="s">
        <v>165</v>
      </c>
      <c r="B4872" s="4" t="str">
        <f>"2020041321"</f>
        <v>2020041321</v>
      </c>
      <c r="C4872" s="5">
        <v>67.599999999999994</v>
      </c>
      <c r="D4872" s="6">
        <v>62.5</v>
      </c>
      <c r="E4872" s="7">
        <f t="shared" si="76"/>
        <v>130.1</v>
      </c>
      <c r="F4872" s="8"/>
    </row>
    <row r="4873" spans="1:6" ht="18" customHeight="1">
      <c r="A4873" s="4" t="s">
        <v>165</v>
      </c>
      <c r="B4873" s="4" t="str">
        <f>"2020042613"</f>
        <v>2020042613</v>
      </c>
      <c r="C4873" s="5">
        <v>69.2</v>
      </c>
      <c r="D4873" s="6">
        <v>60.5</v>
      </c>
      <c r="E4873" s="7">
        <f t="shared" si="76"/>
        <v>129.69999999999999</v>
      </c>
      <c r="F4873" s="8"/>
    </row>
    <row r="4874" spans="1:6" ht="18" customHeight="1">
      <c r="A4874" s="4" t="s">
        <v>165</v>
      </c>
      <c r="B4874" s="4" t="str">
        <f>"2020045609"</f>
        <v>2020045609</v>
      </c>
      <c r="C4874" s="5">
        <v>61.9</v>
      </c>
      <c r="D4874" s="6">
        <v>67.5</v>
      </c>
      <c r="E4874" s="7">
        <f t="shared" si="76"/>
        <v>129.4</v>
      </c>
      <c r="F4874" s="8"/>
    </row>
    <row r="4875" spans="1:6" ht="18" customHeight="1">
      <c r="A4875" s="4" t="s">
        <v>165</v>
      </c>
      <c r="B4875" s="4" t="str">
        <f>"2020044909"</f>
        <v>2020044909</v>
      </c>
      <c r="C4875" s="5">
        <v>69.099999999999994</v>
      </c>
      <c r="D4875" s="6">
        <v>60</v>
      </c>
      <c r="E4875" s="7">
        <f t="shared" si="76"/>
        <v>129.1</v>
      </c>
      <c r="F4875" s="8"/>
    </row>
    <row r="4876" spans="1:6" ht="18" customHeight="1">
      <c r="A4876" s="4" t="s">
        <v>165</v>
      </c>
      <c r="B4876" s="4" t="str">
        <f>"2020012320"</f>
        <v>2020012320</v>
      </c>
      <c r="C4876" s="5">
        <v>70</v>
      </c>
      <c r="D4876" s="6">
        <v>58.5</v>
      </c>
      <c r="E4876" s="7">
        <f t="shared" si="76"/>
        <v>128.5</v>
      </c>
      <c r="F4876" s="8"/>
    </row>
    <row r="4877" spans="1:6" ht="18" customHeight="1">
      <c r="A4877" s="4" t="s">
        <v>165</v>
      </c>
      <c r="B4877" s="4" t="str">
        <f>"2020024214"</f>
        <v>2020024214</v>
      </c>
      <c r="C4877" s="5">
        <v>60.5</v>
      </c>
      <c r="D4877" s="6">
        <v>68</v>
      </c>
      <c r="E4877" s="7">
        <f t="shared" si="76"/>
        <v>128.5</v>
      </c>
      <c r="F4877" s="8"/>
    </row>
    <row r="4878" spans="1:6" ht="18" customHeight="1">
      <c r="A4878" s="4" t="s">
        <v>165</v>
      </c>
      <c r="B4878" s="4" t="str">
        <f>"2020021911"</f>
        <v>2020021911</v>
      </c>
      <c r="C4878" s="5">
        <v>65.7</v>
      </c>
      <c r="D4878" s="6">
        <v>62.5</v>
      </c>
      <c r="E4878" s="7">
        <f t="shared" si="76"/>
        <v>128.19999999999999</v>
      </c>
      <c r="F4878" s="8"/>
    </row>
    <row r="4879" spans="1:6" ht="18" customHeight="1">
      <c r="A4879" s="4" t="s">
        <v>165</v>
      </c>
      <c r="B4879" s="4" t="str">
        <f>"2020046520"</f>
        <v>2020046520</v>
      </c>
      <c r="C4879" s="5">
        <v>56.5</v>
      </c>
      <c r="D4879" s="6">
        <v>71</v>
      </c>
      <c r="E4879" s="7">
        <f t="shared" si="76"/>
        <v>127.5</v>
      </c>
      <c r="F4879" s="8"/>
    </row>
    <row r="4880" spans="1:6" ht="18" customHeight="1">
      <c r="A4880" s="4" t="s">
        <v>165</v>
      </c>
      <c r="B4880" s="4" t="str">
        <f>"2020043820"</f>
        <v>2020043820</v>
      </c>
      <c r="C4880" s="5">
        <v>59</v>
      </c>
      <c r="D4880" s="6">
        <v>66.5</v>
      </c>
      <c r="E4880" s="7">
        <f t="shared" si="76"/>
        <v>125.5</v>
      </c>
      <c r="F4880" s="8"/>
    </row>
    <row r="4881" spans="1:6" ht="18" customHeight="1">
      <c r="A4881" s="4" t="s">
        <v>165</v>
      </c>
      <c r="B4881" s="4" t="str">
        <f>"2020022212"</f>
        <v>2020022212</v>
      </c>
      <c r="C4881" s="5">
        <v>70.2</v>
      </c>
      <c r="D4881" s="6">
        <v>54.5</v>
      </c>
      <c r="E4881" s="7">
        <f t="shared" si="76"/>
        <v>124.7</v>
      </c>
      <c r="F4881" s="8"/>
    </row>
    <row r="4882" spans="1:6" ht="18" customHeight="1">
      <c r="A4882" s="4" t="s">
        <v>165</v>
      </c>
      <c r="B4882" s="4" t="str">
        <f>"2020045106"</f>
        <v>2020045106</v>
      </c>
      <c r="C4882" s="5">
        <v>68.3</v>
      </c>
      <c r="D4882" s="6">
        <v>56</v>
      </c>
      <c r="E4882" s="7">
        <f t="shared" si="76"/>
        <v>124.3</v>
      </c>
      <c r="F4882" s="8"/>
    </row>
    <row r="4883" spans="1:6" ht="18" customHeight="1">
      <c r="A4883" s="4" t="s">
        <v>165</v>
      </c>
      <c r="B4883" s="4" t="str">
        <f>"2020031608"</f>
        <v>2020031608</v>
      </c>
      <c r="C4883" s="5">
        <v>58.7</v>
      </c>
      <c r="D4883" s="6">
        <v>65.5</v>
      </c>
      <c r="E4883" s="7">
        <f t="shared" si="76"/>
        <v>124.2</v>
      </c>
      <c r="F4883" s="8"/>
    </row>
    <row r="4884" spans="1:6" ht="18" customHeight="1">
      <c r="A4884" s="4" t="s">
        <v>165</v>
      </c>
      <c r="B4884" s="4" t="str">
        <f>"2020033321"</f>
        <v>2020033321</v>
      </c>
      <c r="C4884" s="5">
        <v>62.9</v>
      </c>
      <c r="D4884" s="6">
        <v>61</v>
      </c>
      <c r="E4884" s="7">
        <f t="shared" si="76"/>
        <v>123.9</v>
      </c>
      <c r="F4884" s="8"/>
    </row>
    <row r="4885" spans="1:6" ht="18" customHeight="1">
      <c r="A4885" s="4" t="s">
        <v>165</v>
      </c>
      <c r="B4885" s="4" t="str">
        <f>"2020046903"</f>
        <v>2020046903</v>
      </c>
      <c r="C4885" s="5">
        <v>57.5</v>
      </c>
      <c r="D4885" s="6">
        <v>66</v>
      </c>
      <c r="E4885" s="7">
        <f t="shared" si="76"/>
        <v>123.5</v>
      </c>
      <c r="F4885" s="8"/>
    </row>
    <row r="4886" spans="1:6" ht="18" customHeight="1">
      <c r="A4886" s="4" t="s">
        <v>165</v>
      </c>
      <c r="B4886" s="4" t="str">
        <f>"2020041112"</f>
        <v>2020041112</v>
      </c>
      <c r="C4886" s="5">
        <v>61.7</v>
      </c>
      <c r="D4886" s="6">
        <v>61.5</v>
      </c>
      <c r="E4886" s="7">
        <f t="shared" si="76"/>
        <v>123.2</v>
      </c>
      <c r="F4886" s="8"/>
    </row>
    <row r="4887" spans="1:6" ht="18" customHeight="1">
      <c r="A4887" s="4" t="s">
        <v>165</v>
      </c>
      <c r="B4887" s="4" t="str">
        <f>"2020040703"</f>
        <v>2020040703</v>
      </c>
      <c r="C4887" s="5">
        <v>70.2</v>
      </c>
      <c r="D4887" s="6">
        <v>52.5</v>
      </c>
      <c r="E4887" s="7">
        <f t="shared" si="76"/>
        <v>122.7</v>
      </c>
      <c r="F4887" s="8"/>
    </row>
    <row r="4888" spans="1:6" ht="18" customHeight="1">
      <c r="A4888" s="4" t="s">
        <v>165</v>
      </c>
      <c r="B4888" s="4" t="str">
        <f>"2020020310"</f>
        <v>2020020310</v>
      </c>
      <c r="C4888" s="5">
        <v>64.099999999999994</v>
      </c>
      <c r="D4888" s="6">
        <v>57.5</v>
      </c>
      <c r="E4888" s="7">
        <f t="shared" si="76"/>
        <v>121.6</v>
      </c>
      <c r="F4888" s="8"/>
    </row>
    <row r="4889" spans="1:6" ht="18" customHeight="1">
      <c r="A4889" s="4" t="s">
        <v>165</v>
      </c>
      <c r="B4889" s="4" t="str">
        <f>"2020021128"</f>
        <v>2020021128</v>
      </c>
      <c r="C4889" s="5">
        <v>63.2</v>
      </c>
      <c r="D4889" s="6">
        <v>58</v>
      </c>
      <c r="E4889" s="7">
        <f t="shared" si="76"/>
        <v>121.2</v>
      </c>
      <c r="F4889" s="8"/>
    </row>
    <row r="4890" spans="1:6" ht="18" customHeight="1">
      <c r="A4890" s="4" t="s">
        <v>165</v>
      </c>
      <c r="B4890" s="4" t="str">
        <f>"2020045616"</f>
        <v>2020045616</v>
      </c>
      <c r="C4890" s="5">
        <v>62.7</v>
      </c>
      <c r="D4890" s="6">
        <v>58.5</v>
      </c>
      <c r="E4890" s="7">
        <f t="shared" si="76"/>
        <v>121.2</v>
      </c>
      <c r="F4890" s="8"/>
    </row>
    <row r="4891" spans="1:6" ht="18" customHeight="1">
      <c r="A4891" s="4" t="s">
        <v>165</v>
      </c>
      <c r="B4891" s="4" t="str">
        <f>"2020033410"</f>
        <v>2020033410</v>
      </c>
      <c r="C4891" s="5">
        <v>59.1</v>
      </c>
      <c r="D4891" s="6">
        <v>62</v>
      </c>
      <c r="E4891" s="7">
        <f t="shared" si="76"/>
        <v>121.1</v>
      </c>
      <c r="F4891" s="8"/>
    </row>
    <row r="4892" spans="1:6" ht="18" customHeight="1">
      <c r="A4892" s="4" t="s">
        <v>165</v>
      </c>
      <c r="B4892" s="4" t="str">
        <f>"2020044608"</f>
        <v>2020044608</v>
      </c>
      <c r="C4892" s="5">
        <v>65.3</v>
      </c>
      <c r="D4892" s="6">
        <v>55</v>
      </c>
      <c r="E4892" s="7">
        <f t="shared" si="76"/>
        <v>120.3</v>
      </c>
      <c r="F4892" s="8"/>
    </row>
    <row r="4893" spans="1:6" ht="18" customHeight="1">
      <c r="A4893" s="4" t="s">
        <v>165</v>
      </c>
      <c r="B4893" s="4" t="str">
        <f>"2020023816"</f>
        <v>2020023816</v>
      </c>
      <c r="C4893" s="5">
        <v>55.8</v>
      </c>
      <c r="D4893" s="6">
        <v>64.5</v>
      </c>
      <c r="E4893" s="7">
        <f t="shared" si="76"/>
        <v>120.3</v>
      </c>
      <c r="F4893" s="8"/>
    </row>
    <row r="4894" spans="1:6" ht="18" customHeight="1">
      <c r="A4894" s="4" t="s">
        <v>165</v>
      </c>
      <c r="B4894" s="4" t="str">
        <f>"2020042305"</f>
        <v>2020042305</v>
      </c>
      <c r="C4894" s="5">
        <v>61.9</v>
      </c>
      <c r="D4894" s="6">
        <v>58</v>
      </c>
      <c r="E4894" s="7">
        <f t="shared" si="76"/>
        <v>119.9</v>
      </c>
      <c r="F4894" s="8"/>
    </row>
    <row r="4895" spans="1:6" ht="18" customHeight="1">
      <c r="A4895" s="4" t="s">
        <v>165</v>
      </c>
      <c r="B4895" s="4" t="str">
        <f>"2020023330"</f>
        <v>2020023330</v>
      </c>
      <c r="C4895" s="5">
        <v>62.8</v>
      </c>
      <c r="D4895" s="6">
        <v>57</v>
      </c>
      <c r="E4895" s="7">
        <f t="shared" si="76"/>
        <v>119.8</v>
      </c>
      <c r="F4895" s="8"/>
    </row>
    <row r="4896" spans="1:6" ht="18" customHeight="1">
      <c r="A4896" s="4" t="s">
        <v>165</v>
      </c>
      <c r="B4896" s="4" t="str">
        <f>"2020022019"</f>
        <v>2020022019</v>
      </c>
      <c r="C4896" s="5">
        <v>67.2</v>
      </c>
      <c r="D4896" s="6">
        <v>52.5</v>
      </c>
      <c r="E4896" s="7">
        <f t="shared" si="76"/>
        <v>119.7</v>
      </c>
      <c r="F4896" s="8"/>
    </row>
    <row r="4897" spans="1:6" ht="18" customHeight="1">
      <c r="A4897" s="4" t="s">
        <v>165</v>
      </c>
      <c r="B4897" s="4" t="str">
        <f>"2020012929"</f>
        <v>2020012929</v>
      </c>
      <c r="C4897" s="5">
        <v>61.7</v>
      </c>
      <c r="D4897" s="6">
        <v>57</v>
      </c>
      <c r="E4897" s="7">
        <f t="shared" si="76"/>
        <v>118.7</v>
      </c>
      <c r="F4897" s="8"/>
    </row>
    <row r="4898" spans="1:6" ht="18" customHeight="1">
      <c r="A4898" s="4" t="s">
        <v>165</v>
      </c>
      <c r="B4898" s="4" t="str">
        <f>"2020033121"</f>
        <v>2020033121</v>
      </c>
      <c r="C4898" s="5">
        <v>60.5</v>
      </c>
      <c r="D4898" s="6">
        <v>58</v>
      </c>
      <c r="E4898" s="7">
        <f t="shared" si="76"/>
        <v>118.5</v>
      </c>
      <c r="F4898" s="8"/>
    </row>
    <row r="4899" spans="1:6" ht="18" customHeight="1">
      <c r="A4899" s="4" t="s">
        <v>165</v>
      </c>
      <c r="B4899" s="4" t="str">
        <f>"2020043208"</f>
        <v>2020043208</v>
      </c>
      <c r="C4899" s="5">
        <v>68.7</v>
      </c>
      <c r="D4899" s="6">
        <v>49.5</v>
      </c>
      <c r="E4899" s="7">
        <f t="shared" si="76"/>
        <v>118.2</v>
      </c>
      <c r="F4899" s="8"/>
    </row>
    <row r="4900" spans="1:6" ht="18" customHeight="1">
      <c r="A4900" s="4" t="s">
        <v>165</v>
      </c>
      <c r="B4900" s="4" t="str">
        <f>"2020022314"</f>
        <v>2020022314</v>
      </c>
      <c r="C4900" s="5">
        <v>56.7</v>
      </c>
      <c r="D4900" s="6">
        <v>61.5</v>
      </c>
      <c r="E4900" s="7">
        <f t="shared" si="76"/>
        <v>118.2</v>
      </c>
      <c r="F4900" s="8"/>
    </row>
    <row r="4901" spans="1:6" ht="18" customHeight="1">
      <c r="A4901" s="4" t="s">
        <v>165</v>
      </c>
      <c r="B4901" s="4" t="str">
        <f>"2020011318"</f>
        <v>2020011318</v>
      </c>
      <c r="C4901" s="5">
        <v>53.7</v>
      </c>
      <c r="D4901" s="6">
        <v>64.5</v>
      </c>
      <c r="E4901" s="7">
        <f t="shared" si="76"/>
        <v>118.2</v>
      </c>
      <c r="F4901" s="8"/>
    </row>
    <row r="4902" spans="1:6" ht="18" customHeight="1">
      <c r="A4902" s="4" t="s">
        <v>165</v>
      </c>
      <c r="B4902" s="4" t="str">
        <f>"2020013407"</f>
        <v>2020013407</v>
      </c>
      <c r="C4902" s="5">
        <v>62.9</v>
      </c>
      <c r="D4902" s="6">
        <v>55</v>
      </c>
      <c r="E4902" s="7">
        <f t="shared" si="76"/>
        <v>117.9</v>
      </c>
      <c r="F4902" s="8"/>
    </row>
    <row r="4903" spans="1:6" ht="18" customHeight="1">
      <c r="A4903" s="4" t="s">
        <v>165</v>
      </c>
      <c r="B4903" s="4" t="str">
        <f>"2020045022"</f>
        <v>2020045022</v>
      </c>
      <c r="C4903" s="5">
        <v>63.3</v>
      </c>
      <c r="D4903" s="6">
        <v>53.5</v>
      </c>
      <c r="E4903" s="7">
        <f t="shared" si="76"/>
        <v>116.8</v>
      </c>
      <c r="F4903" s="8"/>
    </row>
    <row r="4904" spans="1:6" ht="18" customHeight="1">
      <c r="A4904" s="4" t="s">
        <v>165</v>
      </c>
      <c r="B4904" s="4" t="str">
        <f>"2020013121"</f>
        <v>2020013121</v>
      </c>
      <c r="C4904" s="5">
        <v>59.4</v>
      </c>
      <c r="D4904" s="6">
        <v>57</v>
      </c>
      <c r="E4904" s="7">
        <f t="shared" si="76"/>
        <v>116.4</v>
      </c>
      <c r="F4904" s="8"/>
    </row>
    <row r="4905" spans="1:6" ht="18" customHeight="1">
      <c r="A4905" s="4" t="s">
        <v>165</v>
      </c>
      <c r="B4905" s="4" t="str">
        <f>"2020031215"</f>
        <v>2020031215</v>
      </c>
      <c r="C4905" s="5">
        <v>60.5</v>
      </c>
      <c r="D4905" s="6">
        <v>55</v>
      </c>
      <c r="E4905" s="7">
        <f t="shared" si="76"/>
        <v>115.5</v>
      </c>
      <c r="F4905" s="8"/>
    </row>
    <row r="4906" spans="1:6" ht="18" customHeight="1">
      <c r="A4906" s="4" t="s">
        <v>165</v>
      </c>
      <c r="B4906" s="4" t="str">
        <f>"2020024217"</f>
        <v>2020024217</v>
      </c>
      <c r="C4906" s="5">
        <v>56.4</v>
      </c>
      <c r="D4906" s="6">
        <v>59</v>
      </c>
      <c r="E4906" s="7">
        <f t="shared" si="76"/>
        <v>115.4</v>
      </c>
      <c r="F4906" s="8"/>
    </row>
    <row r="4907" spans="1:6" ht="18" customHeight="1">
      <c r="A4907" s="4" t="s">
        <v>165</v>
      </c>
      <c r="B4907" s="4" t="str">
        <f>"2020033908"</f>
        <v>2020033908</v>
      </c>
      <c r="C4907" s="5">
        <v>68.2</v>
      </c>
      <c r="D4907" s="6">
        <v>47</v>
      </c>
      <c r="E4907" s="7">
        <f t="shared" si="76"/>
        <v>115.2</v>
      </c>
      <c r="F4907" s="8"/>
    </row>
    <row r="4908" spans="1:6" ht="18" customHeight="1">
      <c r="A4908" s="4" t="s">
        <v>165</v>
      </c>
      <c r="B4908" s="4" t="str">
        <f>"2020033930"</f>
        <v>2020033930</v>
      </c>
      <c r="C4908" s="5">
        <v>51.5</v>
      </c>
      <c r="D4908" s="6">
        <v>63</v>
      </c>
      <c r="E4908" s="7">
        <f t="shared" si="76"/>
        <v>114.5</v>
      </c>
      <c r="F4908" s="8"/>
    </row>
    <row r="4909" spans="1:6" ht="18" customHeight="1">
      <c r="A4909" s="4" t="s">
        <v>165</v>
      </c>
      <c r="B4909" s="4" t="str">
        <f>"2020046710"</f>
        <v>2020046710</v>
      </c>
      <c r="C4909" s="5">
        <v>63.4</v>
      </c>
      <c r="D4909" s="6">
        <v>51</v>
      </c>
      <c r="E4909" s="7">
        <f t="shared" si="76"/>
        <v>114.4</v>
      </c>
      <c r="F4909" s="8"/>
    </row>
    <row r="4910" spans="1:6" ht="18" customHeight="1">
      <c r="A4910" s="4" t="s">
        <v>165</v>
      </c>
      <c r="B4910" s="4" t="str">
        <f>"2020040517"</f>
        <v>2020040517</v>
      </c>
      <c r="C4910" s="5">
        <v>63.3</v>
      </c>
      <c r="D4910" s="6">
        <v>51</v>
      </c>
      <c r="E4910" s="7">
        <f t="shared" si="76"/>
        <v>114.3</v>
      </c>
      <c r="F4910" s="8"/>
    </row>
    <row r="4911" spans="1:6" ht="18" customHeight="1">
      <c r="A4911" s="4" t="s">
        <v>165</v>
      </c>
      <c r="B4911" s="4" t="str">
        <f>"2020043309"</f>
        <v>2020043309</v>
      </c>
      <c r="C4911" s="5">
        <v>56.8</v>
      </c>
      <c r="D4911" s="6">
        <v>56.5</v>
      </c>
      <c r="E4911" s="7">
        <f t="shared" si="76"/>
        <v>113.3</v>
      </c>
      <c r="F4911" s="8"/>
    </row>
    <row r="4912" spans="1:6" ht="18" customHeight="1">
      <c r="A4912" s="4" t="s">
        <v>165</v>
      </c>
      <c r="B4912" s="4" t="str">
        <f>"2020044807"</f>
        <v>2020044807</v>
      </c>
      <c r="C4912" s="5">
        <v>64.8</v>
      </c>
      <c r="D4912" s="6">
        <v>48</v>
      </c>
      <c r="E4912" s="7">
        <f t="shared" si="76"/>
        <v>112.8</v>
      </c>
      <c r="F4912" s="8"/>
    </row>
    <row r="4913" spans="1:6" ht="18" customHeight="1">
      <c r="A4913" s="4" t="s">
        <v>165</v>
      </c>
      <c r="B4913" s="4" t="str">
        <f>"2020043212"</f>
        <v>2020043212</v>
      </c>
      <c r="C4913" s="5">
        <v>59.8</v>
      </c>
      <c r="D4913" s="6">
        <v>52.5</v>
      </c>
      <c r="E4913" s="7">
        <f t="shared" si="76"/>
        <v>112.3</v>
      </c>
      <c r="F4913" s="8"/>
    </row>
    <row r="4914" spans="1:6" ht="18" customHeight="1">
      <c r="A4914" s="4" t="s">
        <v>165</v>
      </c>
      <c r="B4914" s="4" t="str">
        <f>"2020032122"</f>
        <v>2020032122</v>
      </c>
      <c r="C4914" s="5">
        <v>60.8</v>
      </c>
      <c r="D4914" s="6">
        <v>51</v>
      </c>
      <c r="E4914" s="7">
        <f t="shared" si="76"/>
        <v>111.8</v>
      </c>
      <c r="F4914" s="8"/>
    </row>
    <row r="4915" spans="1:6" ht="18" customHeight="1">
      <c r="A4915" s="4" t="s">
        <v>165</v>
      </c>
      <c r="B4915" s="4" t="str">
        <f>"2020013211"</f>
        <v>2020013211</v>
      </c>
      <c r="C4915" s="5">
        <v>53.7</v>
      </c>
      <c r="D4915" s="6">
        <v>58</v>
      </c>
      <c r="E4915" s="7">
        <f t="shared" si="76"/>
        <v>111.7</v>
      </c>
      <c r="F4915" s="8"/>
    </row>
    <row r="4916" spans="1:6" ht="18" customHeight="1">
      <c r="A4916" s="4" t="s">
        <v>165</v>
      </c>
      <c r="B4916" s="4" t="str">
        <f>"2020031924"</f>
        <v>2020031924</v>
      </c>
      <c r="C4916" s="5">
        <v>62.9</v>
      </c>
      <c r="D4916" s="6">
        <v>48.5</v>
      </c>
      <c r="E4916" s="7">
        <f t="shared" si="76"/>
        <v>111.4</v>
      </c>
      <c r="F4916" s="8"/>
    </row>
    <row r="4917" spans="1:6" ht="18" customHeight="1">
      <c r="A4917" s="4" t="s">
        <v>165</v>
      </c>
      <c r="B4917" s="4" t="str">
        <f>"2020030420"</f>
        <v>2020030420</v>
      </c>
      <c r="C4917" s="5">
        <v>52</v>
      </c>
      <c r="D4917" s="6">
        <v>59</v>
      </c>
      <c r="E4917" s="7">
        <f t="shared" si="76"/>
        <v>111</v>
      </c>
      <c r="F4917" s="8"/>
    </row>
    <row r="4918" spans="1:6" ht="18" customHeight="1">
      <c r="A4918" s="4" t="s">
        <v>165</v>
      </c>
      <c r="B4918" s="4" t="str">
        <f>"2020045501"</f>
        <v>2020045501</v>
      </c>
      <c r="C4918" s="5">
        <v>56.3</v>
      </c>
      <c r="D4918" s="6">
        <v>54.5</v>
      </c>
      <c r="E4918" s="7">
        <f t="shared" si="76"/>
        <v>110.8</v>
      </c>
      <c r="F4918" s="8"/>
    </row>
    <row r="4919" spans="1:6" ht="18" customHeight="1">
      <c r="A4919" s="4" t="s">
        <v>165</v>
      </c>
      <c r="B4919" s="4" t="str">
        <f>"2020042223"</f>
        <v>2020042223</v>
      </c>
      <c r="C4919" s="5">
        <v>61.2</v>
      </c>
      <c r="D4919" s="6">
        <v>49.5</v>
      </c>
      <c r="E4919" s="7">
        <f t="shared" si="76"/>
        <v>110.7</v>
      </c>
      <c r="F4919" s="8"/>
    </row>
    <row r="4920" spans="1:6" ht="18" customHeight="1">
      <c r="A4920" s="4" t="s">
        <v>165</v>
      </c>
      <c r="B4920" s="4" t="str">
        <f>"2020043819"</f>
        <v>2020043819</v>
      </c>
      <c r="C4920" s="5">
        <v>60.3</v>
      </c>
      <c r="D4920" s="6">
        <v>50</v>
      </c>
      <c r="E4920" s="7">
        <f t="shared" si="76"/>
        <v>110.3</v>
      </c>
      <c r="F4920" s="8"/>
    </row>
    <row r="4921" spans="1:6" ht="18" customHeight="1">
      <c r="A4921" s="4" t="s">
        <v>165</v>
      </c>
      <c r="B4921" s="4" t="str">
        <f>"2020031717"</f>
        <v>2020031717</v>
      </c>
      <c r="C4921" s="5">
        <v>60</v>
      </c>
      <c r="D4921" s="6">
        <v>50</v>
      </c>
      <c r="E4921" s="7">
        <f t="shared" si="76"/>
        <v>110</v>
      </c>
      <c r="F4921" s="8"/>
    </row>
    <row r="4922" spans="1:6" ht="18" customHeight="1">
      <c r="A4922" s="4" t="s">
        <v>165</v>
      </c>
      <c r="B4922" s="4" t="str">
        <f>"2020012023"</f>
        <v>2020012023</v>
      </c>
      <c r="C4922" s="5">
        <v>55.4</v>
      </c>
      <c r="D4922" s="6">
        <v>53</v>
      </c>
      <c r="E4922" s="7">
        <f t="shared" si="76"/>
        <v>108.4</v>
      </c>
      <c r="F4922" s="8"/>
    </row>
    <row r="4923" spans="1:6" ht="18" customHeight="1">
      <c r="A4923" s="4" t="s">
        <v>165</v>
      </c>
      <c r="B4923" s="4" t="str">
        <f>"2020045307"</f>
        <v>2020045307</v>
      </c>
      <c r="C4923" s="5">
        <v>58.8</v>
      </c>
      <c r="D4923" s="6">
        <v>44.5</v>
      </c>
      <c r="E4923" s="7">
        <f t="shared" si="76"/>
        <v>103.3</v>
      </c>
      <c r="F4923" s="8"/>
    </row>
    <row r="4924" spans="1:6" ht="18" customHeight="1">
      <c r="A4924" s="4" t="s">
        <v>165</v>
      </c>
      <c r="B4924" s="4" t="str">
        <f>"2020024027"</f>
        <v>2020024027</v>
      </c>
      <c r="C4924" s="5">
        <v>52.1</v>
      </c>
      <c r="D4924" s="6">
        <v>49.5</v>
      </c>
      <c r="E4924" s="7">
        <f t="shared" si="76"/>
        <v>101.6</v>
      </c>
      <c r="F4924" s="8"/>
    </row>
    <row r="4925" spans="1:6" ht="18" customHeight="1">
      <c r="A4925" s="4" t="s">
        <v>165</v>
      </c>
      <c r="B4925" s="4" t="str">
        <f>"2020024430"</f>
        <v>2020024430</v>
      </c>
      <c r="C4925" s="5">
        <v>54.1</v>
      </c>
      <c r="D4925" s="6">
        <v>47</v>
      </c>
      <c r="E4925" s="7">
        <f t="shared" si="76"/>
        <v>101.1</v>
      </c>
      <c r="F4925" s="8"/>
    </row>
    <row r="4926" spans="1:6" ht="18" customHeight="1">
      <c r="A4926" s="4" t="s">
        <v>165</v>
      </c>
      <c r="B4926" s="4" t="str">
        <f>"2020032004"</f>
        <v>2020032004</v>
      </c>
      <c r="C4926" s="5">
        <v>50.5</v>
      </c>
      <c r="D4926" s="6">
        <v>49.5</v>
      </c>
      <c r="E4926" s="7">
        <f t="shared" si="76"/>
        <v>100</v>
      </c>
      <c r="F4926" s="8"/>
    </row>
    <row r="4927" spans="1:6" ht="18" customHeight="1">
      <c r="A4927" s="4" t="s">
        <v>165</v>
      </c>
      <c r="B4927" s="4" t="str">
        <f>"2020010822"</f>
        <v>2020010822</v>
      </c>
      <c r="C4927" s="5">
        <v>51.4</v>
      </c>
      <c r="D4927" s="6">
        <v>46.5</v>
      </c>
      <c r="E4927" s="7">
        <f t="shared" si="76"/>
        <v>97.9</v>
      </c>
      <c r="F4927" s="8"/>
    </row>
    <row r="4928" spans="1:6" ht="18" customHeight="1">
      <c r="A4928" s="4" t="s">
        <v>165</v>
      </c>
      <c r="B4928" s="4" t="str">
        <f>"2020043613"</f>
        <v>2020043613</v>
      </c>
      <c r="C4928" s="5">
        <v>54.3</v>
      </c>
      <c r="D4928" s="6">
        <v>42.5</v>
      </c>
      <c r="E4928" s="7">
        <f t="shared" si="76"/>
        <v>96.8</v>
      </c>
      <c r="F4928" s="8"/>
    </row>
    <row r="4929" spans="1:6" ht="18" customHeight="1">
      <c r="A4929" s="4" t="s">
        <v>165</v>
      </c>
      <c r="B4929" s="4" t="str">
        <f>"2020043608"</f>
        <v>2020043608</v>
      </c>
      <c r="C4929" s="5">
        <v>48.9</v>
      </c>
      <c r="D4929" s="6">
        <v>37.5</v>
      </c>
      <c r="E4929" s="7">
        <f t="shared" si="76"/>
        <v>86.4</v>
      </c>
      <c r="F4929" s="8"/>
    </row>
    <row r="4930" spans="1:6" ht="18" customHeight="1">
      <c r="A4930" s="4" t="s">
        <v>165</v>
      </c>
      <c r="B4930" s="4" t="str">
        <f>"2020032605"</f>
        <v>2020032605</v>
      </c>
      <c r="C4930" s="5">
        <v>49.7</v>
      </c>
      <c r="D4930" s="6">
        <v>35.5</v>
      </c>
      <c r="E4930" s="7">
        <f t="shared" si="76"/>
        <v>85.2</v>
      </c>
      <c r="F4930" s="8"/>
    </row>
    <row r="4931" spans="1:6" ht="18" customHeight="1">
      <c r="A4931" s="4" t="s">
        <v>165</v>
      </c>
      <c r="B4931" s="4" t="str">
        <f>"2020023416"</f>
        <v>2020023416</v>
      </c>
      <c r="C4931" s="5">
        <v>42</v>
      </c>
      <c r="D4931" s="6">
        <v>42.5</v>
      </c>
      <c r="E4931" s="7">
        <f t="shared" ref="E4931:E4994" si="77">SUM(C4931:D4931)</f>
        <v>84.5</v>
      </c>
      <c r="F4931" s="8"/>
    </row>
    <row r="4932" spans="1:6" ht="18" customHeight="1">
      <c r="A4932" s="4" t="s">
        <v>165</v>
      </c>
      <c r="B4932" s="4" t="str">
        <f>"2020022417"</f>
        <v>2020022417</v>
      </c>
      <c r="C4932" s="5">
        <v>43.5</v>
      </c>
      <c r="D4932" s="6">
        <v>39.5</v>
      </c>
      <c r="E4932" s="7">
        <f t="shared" si="77"/>
        <v>83</v>
      </c>
      <c r="F4932" s="8"/>
    </row>
    <row r="4933" spans="1:6" ht="18" customHeight="1">
      <c r="A4933" s="4" t="s">
        <v>165</v>
      </c>
      <c r="B4933" s="4" t="str">
        <f>"2020010519"</f>
        <v>2020010519</v>
      </c>
      <c r="C4933" s="5">
        <v>0</v>
      </c>
      <c r="D4933" s="6">
        <v>0</v>
      </c>
      <c r="E4933" s="7">
        <f t="shared" si="77"/>
        <v>0</v>
      </c>
      <c r="F4933" s="9" t="s">
        <v>8</v>
      </c>
    </row>
    <row r="4934" spans="1:6" ht="18" customHeight="1">
      <c r="A4934" s="4" t="s">
        <v>165</v>
      </c>
      <c r="B4934" s="4" t="str">
        <f>"2020011719"</f>
        <v>2020011719</v>
      </c>
      <c r="C4934" s="5">
        <v>0</v>
      </c>
      <c r="D4934" s="6">
        <v>0</v>
      </c>
      <c r="E4934" s="7">
        <f t="shared" si="77"/>
        <v>0</v>
      </c>
      <c r="F4934" s="9" t="s">
        <v>8</v>
      </c>
    </row>
    <row r="4935" spans="1:6" ht="18" customHeight="1">
      <c r="A4935" s="4" t="s">
        <v>165</v>
      </c>
      <c r="B4935" s="4" t="str">
        <f>"2020012013"</f>
        <v>2020012013</v>
      </c>
      <c r="C4935" s="5">
        <v>0</v>
      </c>
      <c r="D4935" s="6">
        <v>0</v>
      </c>
      <c r="E4935" s="7">
        <f t="shared" si="77"/>
        <v>0</v>
      </c>
      <c r="F4935" s="9" t="s">
        <v>8</v>
      </c>
    </row>
    <row r="4936" spans="1:6" ht="18" customHeight="1">
      <c r="A4936" s="4" t="s">
        <v>165</v>
      </c>
      <c r="B4936" s="4" t="str">
        <f>"2020012409"</f>
        <v>2020012409</v>
      </c>
      <c r="C4936" s="5">
        <v>0</v>
      </c>
      <c r="D4936" s="6">
        <v>0</v>
      </c>
      <c r="E4936" s="7">
        <f t="shared" si="77"/>
        <v>0</v>
      </c>
      <c r="F4936" s="9" t="s">
        <v>8</v>
      </c>
    </row>
    <row r="4937" spans="1:6" ht="18" customHeight="1">
      <c r="A4937" s="4" t="s">
        <v>165</v>
      </c>
      <c r="B4937" s="4" t="str">
        <f>"2020021221"</f>
        <v>2020021221</v>
      </c>
      <c r="C4937" s="5">
        <v>0</v>
      </c>
      <c r="D4937" s="6">
        <v>0</v>
      </c>
      <c r="E4937" s="7">
        <f t="shared" si="77"/>
        <v>0</v>
      </c>
      <c r="F4937" s="8" t="s">
        <v>8</v>
      </c>
    </row>
    <row r="4938" spans="1:6" ht="18" customHeight="1">
      <c r="A4938" s="4" t="s">
        <v>165</v>
      </c>
      <c r="B4938" s="4" t="str">
        <f>"2020021326"</f>
        <v>2020021326</v>
      </c>
      <c r="C4938" s="5">
        <v>0</v>
      </c>
      <c r="D4938" s="6">
        <v>0</v>
      </c>
      <c r="E4938" s="7">
        <f t="shared" si="77"/>
        <v>0</v>
      </c>
      <c r="F4938" s="8" t="s">
        <v>8</v>
      </c>
    </row>
    <row r="4939" spans="1:6" ht="18" customHeight="1">
      <c r="A4939" s="4" t="s">
        <v>165</v>
      </c>
      <c r="B4939" s="4" t="str">
        <f>"2020021422"</f>
        <v>2020021422</v>
      </c>
      <c r="C4939" s="5">
        <v>0</v>
      </c>
      <c r="D4939" s="6">
        <v>0</v>
      </c>
      <c r="E4939" s="7">
        <f t="shared" si="77"/>
        <v>0</v>
      </c>
      <c r="F4939" s="8" t="s">
        <v>8</v>
      </c>
    </row>
    <row r="4940" spans="1:6" ht="18" customHeight="1">
      <c r="A4940" s="4" t="s">
        <v>165</v>
      </c>
      <c r="B4940" s="4" t="str">
        <f>"2020022510"</f>
        <v>2020022510</v>
      </c>
      <c r="C4940" s="5">
        <v>0</v>
      </c>
      <c r="D4940" s="6">
        <v>0</v>
      </c>
      <c r="E4940" s="7">
        <f t="shared" si="77"/>
        <v>0</v>
      </c>
      <c r="F4940" s="8" t="s">
        <v>8</v>
      </c>
    </row>
    <row r="4941" spans="1:6" ht="18" customHeight="1">
      <c r="A4941" s="4" t="s">
        <v>165</v>
      </c>
      <c r="B4941" s="4" t="str">
        <f>"2020022911"</f>
        <v>2020022911</v>
      </c>
      <c r="C4941" s="5">
        <v>0</v>
      </c>
      <c r="D4941" s="6">
        <v>0</v>
      </c>
      <c r="E4941" s="7">
        <f t="shared" si="77"/>
        <v>0</v>
      </c>
      <c r="F4941" s="8" t="s">
        <v>8</v>
      </c>
    </row>
    <row r="4942" spans="1:6" ht="18" customHeight="1">
      <c r="A4942" s="4" t="s">
        <v>165</v>
      </c>
      <c r="B4942" s="4" t="str">
        <f>"2020023622"</f>
        <v>2020023622</v>
      </c>
      <c r="C4942" s="5">
        <v>0</v>
      </c>
      <c r="D4942" s="6">
        <v>0</v>
      </c>
      <c r="E4942" s="7">
        <f t="shared" si="77"/>
        <v>0</v>
      </c>
      <c r="F4942" s="8" t="s">
        <v>8</v>
      </c>
    </row>
    <row r="4943" spans="1:6" ht="18" customHeight="1">
      <c r="A4943" s="4" t="s">
        <v>165</v>
      </c>
      <c r="B4943" s="4" t="str">
        <f>"2020030304"</f>
        <v>2020030304</v>
      </c>
      <c r="C4943" s="5">
        <v>0</v>
      </c>
      <c r="D4943" s="6">
        <v>0</v>
      </c>
      <c r="E4943" s="7">
        <f t="shared" si="77"/>
        <v>0</v>
      </c>
      <c r="F4943" s="8" t="s">
        <v>8</v>
      </c>
    </row>
    <row r="4944" spans="1:6" ht="18" customHeight="1">
      <c r="A4944" s="4" t="s">
        <v>165</v>
      </c>
      <c r="B4944" s="4" t="str">
        <f>"2020030414"</f>
        <v>2020030414</v>
      </c>
      <c r="C4944" s="5">
        <v>0</v>
      </c>
      <c r="D4944" s="6">
        <v>0</v>
      </c>
      <c r="E4944" s="7">
        <f t="shared" si="77"/>
        <v>0</v>
      </c>
      <c r="F4944" s="8" t="s">
        <v>8</v>
      </c>
    </row>
    <row r="4945" spans="1:6" ht="18" customHeight="1">
      <c r="A4945" s="4" t="s">
        <v>165</v>
      </c>
      <c r="B4945" s="4" t="str">
        <f>"2020030925"</f>
        <v>2020030925</v>
      </c>
      <c r="C4945" s="5">
        <v>0</v>
      </c>
      <c r="D4945" s="6">
        <v>0</v>
      </c>
      <c r="E4945" s="7">
        <f t="shared" si="77"/>
        <v>0</v>
      </c>
      <c r="F4945" s="8" t="s">
        <v>8</v>
      </c>
    </row>
    <row r="4946" spans="1:6" ht="18" customHeight="1">
      <c r="A4946" s="4" t="s">
        <v>165</v>
      </c>
      <c r="B4946" s="4" t="str">
        <f>"2020031617"</f>
        <v>2020031617</v>
      </c>
      <c r="C4946" s="5">
        <v>0</v>
      </c>
      <c r="D4946" s="6">
        <v>0</v>
      </c>
      <c r="E4946" s="7">
        <f t="shared" si="77"/>
        <v>0</v>
      </c>
      <c r="F4946" s="8" t="s">
        <v>8</v>
      </c>
    </row>
    <row r="4947" spans="1:6" ht="18" customHeight="1">
      <c r="A4947" s="4" t="s">
        <v>165</v>
      </c>
      <c r="B4947" s="4" t="str">
        <f>"2020032013"</f>
        <v>2020032013</v>
      </c>
      <c r="C4947" s="5">
        <v>0</v>
      </c>
      <c r="D4947" s="6">
        <v>0</v>
      </c>
      <c r="E4947" s="7">
        <f t="shared" si="77"/>
        <v>0</v>
      </c>
      <c r="F4947" s="8" t="s">
        <v>8</v>
      </c>
    </row>
    <row r="4948" spans="1:6" ht="18" customHeight="1">
      <c r="A4948" s="4" t="s">
        <v>165</v>
      </c>
      <c r="B4948" s="4" t="str">
        <f>"2020033008"</f>
        <v>2020033008</v>
      </c>
      <c r="C4948" s="5">
        <v>0</v>
      </c>
      <c r="D4948" s="6">
        <v>0</v>
      </c>
      <c r="E4948" s="7">
        <f t="shared" si="77"/>
        <v>0</v>
      </c>
      <c r="F4948" s="8" t="s">
        <v>8</v>
      </c>
    </row>
    <row r="4949" spans="1:6" ht="18" customHeight="1">
      <c r="A4949" s="4" t="s">
        <v>165</v>
      </c>
      <c r="B4949" s="4" t="str">
        <f>"2020041926"</f>
        <v>2020041926</v>
      </c>
      <c r="C4949" s="5">
        <v>0</v>
      </c>
      <c r="D4949" s="6">
        <v>0</v>
      </c>
      <c r="E4949" s="7">
        <f t="shared" si="77"/>
        <v>0</v>
      </c>
      <c r="F4949" s="8" t="s">
        <v>8</v>
      </c>
    </row>
    <row r="4950" spans="1:6" ht="18" customHeight="1">
      <c r="A4950" s="4" t="s">
        <v>165</v>
      </c>
      <c r="B4950" s="4" t="str">
        <f>"2020042008"</f>
        <v>2020042008</v>
      </c>
      <c r="C4950" s="5">
        <v>0</v>
      </c>
      <c r="D4950" s="6">
        <v>0</v>
      </c>
      <c r="E4950" s="7">
        <f t="shared" si="77"/>
        <v>0</v>
      </c>
      <c r="F4950" s="8" t="s">
        <v>8</v>
      </c>
    </row>
    <row r="4951" spans="1:6" ht="18" customHeight="1">
      <c r="A4951" s="4" t="s">
        <v>165</v>
      </c>
      <c r="B4951" s="4" t="str">
        <f>"2020043021"</f>
        <v>2020043021</v>
      </c>
      <c r="C4951" s="5">
        <v>0</v>
      </c>
      <c r="D4951" s="6">
        <v>0</v>
      </c>
      <c r="E4951" s="7">
        <f t="shared" si="77"/>
        <v>0</v>
      </c>
      <c r="F4951" s="8" t="s">
        <v>8</v>
      </c>
    </row>
    <row r="4952" spans="1:6" ht="18" customHeight="1">
      <c r="A4952" s="4" t="s">
        <v>165</v>
      </c>
      <c r="B4952" s="4" t="str">
        <f>"2020046219"</f>
        <v>2020046219</v>
      </c>
      <c r="C4952" s="5">
        <v>0</v>
      </c>
      <c r="D4952" s="6">
        <v>0</v>
      </c>
      <c r="E4952" s="7">
        <f t="shared" si="77"/>
        <v>0</v>
      </c>
      <c r="F4952" s="8" t="s">
        <v>8</v>
      </c>
    </row>
    <row r="4953" spans="1:6" ht="18" customHeight="1">
      <c r="A4953" s="4" t="s">
        <v>166</v>
      </c>
      <c r="B4953" s="4" t="str">
        <f>"2020043606"</f>
        <v>2020043606</v>
      </c>
      <c r="C4953" s="5">
        <v>76.099999999999994</v>
      </c>
      <c r="D4953" s="6">
        <v>83.5</v>
      </c>
      <c r="E4953" s="7">
        <f t="shared" si="77"/>
        <v>159.6</v>
      </c>
      <c r="F4953" s="8"/>
    </row>
    <row r="4954" spans="1:6" ht="18" customHeight="1">
      <c r="A4954" s="4" t="s">
        <v>166</v>
      </c>
      <c r="B4954" s="4" t="str">
        <f>"2020030325"</f>
        <v>2020030325</v>
      </c>
      <c r="C4954" s="5">
        <v>69.099999999999994</v>
      </c>
      <c r="D4954" s="6">
        <v>88</v>
      </c>
      <c r="E4954" s="7">
        <f t="shared" si="77"/>
        <v>157.1</v>
      </c>
      <c r="F4954" s="8"/>
    </row>
    <row r="4955" spans="1:6" ht="18" customHeight="1">
      <c r="A4955" s="4" t="s">
        <v>166</v>
      </c>
      <c r="B4955" s="4" t="str">
        <f>"2020031607"</f>
        <v>2020031607</v>
      </c>
      <c r="C4955" s="5">
        <v>76.599999999999994</v>
      </c>
      <c r="D4955" s="6">
        <v>75.5</v>
      </c>
      <c r="E4955" s="7">
        <f t="shared" si="77"/>
        <v>152.1</v>
      </c>
      <c r="F4955" s="8"/>
    </row>
    <row r="4956" spans="1:6" ht="18" customHeight="1">
      <c r="A4956" s="4" t="s">
        <v>166</v>
      </c>
      <c r="B4956" s="4" t="str">
        <f>"2020045803"</f>
        <v>2020045803</v>
      </c>
      <c r="C4956" s="5">
        <v>75.400000000000006</v>
      </c>
      <c r="D4956" s="6">
        <v>73</v>
      </c>
      <c r="E4956" s="7">
        <f t="shared" si="77"/>
        <v>148.4</v>
      </c>
      <c r="F4956" s="8"/>
    </row>
    <row r="4957" spans="1:6" ht="18" customHeight="1">
      <c r="A4957" s="4" t="s">
        <v>166</v>
      </c>
      <c r="B4957" s="4" t="str">
        <f>"2020014003"</f>
        <v>2020014003</v>
      </c>
      <c r="C4957" s="5">
        <v>74.7</v>
      </c>
      <c r="D4957" s="6">
        <v>72.5</v>
      </c>
      <c r="E4957" s="7">
        <f t="shared" si="77"/>
        <v>147.19999999999999</v>
      </c>
      <c r="F4957" s="8"/>
    </row>
    <row r="4958" spans="1:6" ht="18" customHeight="1">
      <c r="A4958" s="4" t="s">
        <v>166</v>
      </c>
      <c r="B4958" s="4" t="str">
        <f>"2020020816"</f>
        <v>2020020816</v>
      </c>
      <c r="C4958" s="5">
        <v>72.900000000000006</v>
      </c>
      <c r="D4958" s="6">
        <v>74</v>
      </c>
      <c r="E4958" s="7">
        <f t="shared" si="77"/>
        <v>146.9</v>
      </c>
      <c r="F4958" s="8"/>
    </row>
    <row r="4959" spans="1:6" ht="18" customHeight="1">
      <c r="A4959" s="4" t="s">
        <v>166</v>
      </c>
      <c r="B4959" s="4" t="str">
        <f>"2020033610"</f>
        <v>2020033610</v>
      </c>
      <c r="C4959" s="5">
        <v>64.5</v>
      </c>
      <c r="D4959" s="6">
        <v>81</v>
      </c>
      <c r="E4959" s="7">
        <f t="shared" si="77"/>
        <v>145.5</v>
      </c>
      <c r="F4959" s="8"/>
    </row>
    <row r="4960" spans="1:6" ht="18" customHeight="1">
      <c r="A4960" s="4" t="s">
        <v>166</v>
      </c>
      <c r="B4960" s="4" t="str">
        <f>"2020021403"</f>
        <v>2020021403</v>
      </c>
      <c r="C4960" s="5">
        <v>63.8</v>
      </c>
      <c r="D4960" s="6">
        <v>70</v>
      </c>
      <c r="E4960" s="7">
        <f t="shared" si="77"/>
        <v>133.80000000000001</v>
      </c>
      <c r="F4960" s="8"/>
    </row>
    <row r="4961" spans="1:6" ht="18" customHeight="1">
      <c r="A4961" s="4" t="s">
        <v>166</v>
      </c>
      <c r="B4961" s="4" t="str">
        <f>"2020042116"</f>
        <v>2020042116</v>
      </c>
      <c r="C4961" s="5">
        <v>76</v>
      </c>
      <c r="D4961" s="6">
        <v>57.5</v>
      </c>
      <c r="E4961" s="7">
        <f t="shared" si="77"/>
        <v>133.5</v>
      </c>
      <c r="F4961" s="8"/>
    </row>
    <row r="4962" spans="1:6" ht="18" customHeight="1">
      <c r="A4962" s="4" t="s">
        <v>166</v>
      </c>
      <c r="B4962" s="4" t="str">
        <f>"2020011705"</f>
        <v>2020011705</v>
      </c>
      <c r="C4962" s="5">
        <v>65.7</v>
      </c>
      <c r="D4962" s="6">
        <v>66.5</v>
      </c>
      <c r="E4962" s="7">
        <f t="shared" si="77"/>
        <v>132.19999999999999</v>
      </c>
      <c r="F4962" s="8"/>
    </row>
    <row r="4963" spans="1:6" ht="18" customHeight="1">
      <c r="A4963" s="4" t="s">
        <v>166</v>
      </c>
      <c r="B4963" s="4" t="str">
        <f>"2020012904"</f>
        <v>2020012904</v>
      </c>
      <c r="C4963" s="5">
        <v>66.7</v>
      </c>
      <c r="D4963" s="6">
        <v>65</v>
      </c>
      <c r="E4963" s="7">
        <f t="shared" si="77"/>
        <v>131.69999999999999</v>
      </c>
      <c r="F4963" s="8"/>
    </row>
    <row r="4964" spans="1:6" ht="18" customHeight="1">
      <c r="A4964" s="4" t="s">
        <v>166</v>
      </c>
      <c r="B4964" s="4" t="str">
        <f>"2020032205"</f>
        <v>2020032205</v>
      </c>
      <c r="C4964" s="5">
        <v>71.5</v>
      </c>
      <c r="D4964" s="6">
        <v>59</v>
      </c>
      <c r="E4964" s="7">
        <f t="shared" si="77"/>
        <v>130.5</v>
      </c>
      <c r="F4964" s="8"/>
    </row>
    <row r="4965" spans="1:6" ht="18" customHeight="1">
      <c r="A4965" s="4" t="s">
        <v>166</v>
      </c>
      <c r="B4965" s="4" t="str">
        <f>"2020032211"</f>
        <v>2020032211</v>
      </c>
      <c r="C4965" s="5">
        <v>60.8</v>
      </c>
      <c r="D4965" s="6">
        <v>68</v>
      </c>
      <c r="E4965" s="7">
        <f t="shared" si="77"/>
        <v>128.80000000000001</v>
      </c>
      <c r="F4965" s="8"/>
    </row>
    <row r="4966" spans="1:6" ht="18" customHeight="1">
      <c r="A4966" s="4" t="s">
        <v>166</v>
      </c>
      <c r="B4966" s="4" t="str">
        <f>"2020044505"</f>
        <v>2020044505</v>
      </c>
      <c r="C4966" s="5">
        <v>68.900000000000006</v>
      </c>
      <c r="D4966" s="6">
        <v>59.5</v>
      </c>
      <c r="E4966" s="7">
        <f t="shared" si="77"/>
        <v>128.4</v>
      </c>
      <c r="F4966" s="8"/>
    </row>
    <row r="4967" spans="1:6" ht="18" customHeight="1">
      <c r="A4967" s="4" t="s">
        <v>166</v>
      </c>
      <c r="B4967" s="4" t="str">
        <f>"2020024715"</f>
        <v>2020024715</v>
      </c>
      <c r="C4967" s="5">
        <v>61.3</v>
      </c>
      <c r="D4967" s="6">
        <v>57.5</v>
      </c>
      <c r="E4967" s="7">
        <f t="shared" si="77"/>
        <v>118.8</v>
      </c>
      <c r="F4967" s="8"/>
    </row>
    <row r="4968" spans="1:6" ht="18" customHeight="1">
      <c r="A4968" s="4" t="s">
        <v>166</v>
      </c>
      <c r="B4968" s="4" t="str">
        <f>"2020024129"</f>
        <v>2020024129</v>
      </c>
      <c r="C4968" s="5">
        <v>54.5</v>
      </c>
      <c r="D4968" s="6">
        <v>50</v>
      </c>
      <c r="E4968" s="7">
        <f t="shared" si="77"/>
        <v>104.5</v>
      </c>
      <c r="F4968" s="8"/>
    </row>
    <row r="4969" spans="1:6" ht="18" customHeight="1">
      <c r="A4969" s="4" t="s">
        <v>166</v>
      </c>
      <c r="B4969" s="4" t="str">
        <f>"2020042930"</f>
        <v>2020042930</v>
      </c>
      <c r="C4969" s="5">
        <v>0</v>
      </c>
      <c r="D4969" s="6">
        <v>0</v>
      </c>
      <c r="E4969" s="7">
        <f t="shared" si="77"/>
        <v>0</v>
      </c>
      <c r="F4969" s="8" t="s">
        <v>8</v>
      </c>
    </row>
    <row r="4970" spans="1:6" ht="18" customHeight="1">
      <c r="A4970" s="4" t="s">
        <v>167</v>
      </c>
      <c r="B4970" s="4" t="str">
        <f>"2020030911"</f>
        <v>2020030911</v>
      </c>
      <c r="C4970" s="5">
        <v>74.5</v>
      </c>
      <c r="D4970" s="6">
        <v>70</v>
      </c>
      <c r="E4970" s="7">
        <f t="shared" si="77"/>
        <v>144.5</v>
      </c>
      <c r="F4970" s="8"/>
    </row>
    <row r="4971" spans="1:6" ht="18" customHeight="1">
      <c r="A4971" s="4" t="s">
        <v>167</v>
      </c>
      <c r="B4971" s="4" t="str">
        <f>"2020041409"</f>
        <v>2020041409</v>
      </c>
      <c r="C4971" s="5">
        <v>70.400000000000006</v>
      </c>
      <c r="D4971" s="6">
        <v>72</v>
      </c>
      <c r="E4971" s="7">
        <f t="shared" si="77"/>
        <v>142.4</v>
      </c>
      <c r="F4971" s="8"/>
    </row>
    <row r="4972" spans="1:6" ht="18" customHeight="1">
      <c r="A4972" s="4" t="s">
        <v>167</v>
      </c>
      <c r="B4972" s="4" t="str">
        <f>"2020031908"</f>
        <v>2020031908</v>
      </c>
      <c r="C4972" s="5">
        <v>70.099999999999994</v>
      </c>
      <c r="D4972" s="6">
        <v>68.5</v>
      </c>
      <c r="E4972" s="7">
        <f t="shared" si="77"/>
        <v>138.6</v>
      </c>
      <c r="F4972" s="8"/>
    </row>
    <row r="4973" spans="1:6" ht="18" customHeight="1">
      <c r="A4973" s="4" t="s">
        <v>167</v>
      </c>
      <c r="B4973" s="4" t="str">
        <f>"2020030530"</f>
        <v>2020030530</v>
      </c>
      <c r="C4973" s="5">
        <v>68.7</v>
      </c>
      <c r="D4973" s="6">
        <v>69</v>
      </c>
      <c r="E4973" s="7">
        <f t="shared" si="77"/>
        <v>137.69999999999999</v>
      </c>
      <c r="F4973" s="8"/>
    </row>
    <row r="4974" spans="1:6" ht="18" customHeight="1">
      <c r="A4974" s="4" t="s">
        <v>167</v>
      </c>
      <c r="B4974" s="4" t="str">
        <f>"2020023423"</f>
        <v>2020023423</v>
      </c>
      <c r="C4974" s="5">
        <v>65.5</v>
      </c>
      <c r="D4974" s="6">
        <v>70.5</v>
      </c>
      <c r="E4974" s="7">
        <f t="shared" si="77"/>
        <v>136</v>
      </c>
      <c r="F4974" s="8"/>
    </row>
    <row r="4975" spans="1:6" ht="18" customHeight="1">
      <c r="A4975" s="4" t="s">
        <v>167</v>
      </c>
      <c r="B4975" s="4" t="str">
        <f>"2020047210"</f>
        <v>2020047210</v>
      </c>
      <c r="C4975" s="5">
        <v>62.5</v>
      </c>
      <c r="D4975" s="6">
        <v>71</v>
      </c>
      <c r="E4975" s="7">
        <f t="shared" si="77"/>
        <v>133.5</v>
      </c>
      <c r="F4975" s="8"/>
    </row>
    <row r="4976" spans="1:6" ht="18" customHeight="1">
      <c r="A4976" s="4" t="s">
        <v>167</v>
      </c>
      <c r="B4976" s="4" t="str">
        <f>"2020044425"</f>
        <v>2020044425</v>
      </c>
      <c r="C4976" s="5">
        <v>65.7</v>
      </c>
      <c r="D4976" s="6">
        <v>67.5</v>
      </c>
      <c r="E4976" s="7">
        <f t="shared" si="77"/>
        <v>133.19999999999999</v>
      </c>
      <c r="F4976" s="8"/>
    </row>
    <row r="4977" spans="1:6" ht="18" customHeight="1">
      <c r="A4977" s="4" t="s">
        <v>167</v>
      </c>
      <c r="B4977" s="4" t="str">
        <f>"2020031317"</f>
        <v>2020031317</v>
      </c>
      <c r="C4977" s="5">
        <v>64.2</v>
      </c>
      <c r="D4977" s="6">
        <v>68.5</v>
      </c>
      <c r="E4977" s="7">
        <f t="shared" si="77"/>
        <v>132.69999999999999</v>
      </c>
      <c r="F4977" s="8"/>
    </row>
    <row r="4978" spans="1:6" ht="18" customHeight="1">
      <c r="A4978" s="4" t="s">
        <v>167</v>
      </c>
      <c r="B4978" s="4" t="str">
        <f>"2020033506"</f>
        <v>2020033506</v>
      </c>
      <c r="C4978" s="5">
        <v>55.7</v>
      </c>
      <c r="D4978" s="6">
        <v>76</v>
      </c>
      <c r="E4978" s="7">
        <f t="shared" si="77"/>
        <v>131.69999999999999</v>
      </c>
      <c r="F4978" s="8"/>
    </row>
    <row r="4979" spans="1:6" ht="18" customHeight="1">
      <c r="A4979" s="4" t="s">
        <v>167</v>
      </c>
      <c r="B4979" s="4" t="str">
        <f>"2020022130"</f>
        <v>2020022130</v>
      </c>
      <c r="C4979" s="5">
        <v>65.7</v>
      </c>
      <c r="D4979" s="6">
        <v>65</v>
      </c>
      <c r="E4979" s="7">
        <f t="shared" si="77"/>
        <v>130.69999999999999</v>
      </c>
      <c r="F4979" s="8"/>
    </row>
    <row r="4980" spans="1:6" ht="18" customHeight="1">
      <c r="A4980" s="4" t="s">
        <v>167</v>
      </c>
      <c r="B4980" s="4" t="str">
        <f>"2020033125"</f>
        <v>2020033125</v>
      </c>
      <c r="C4980" s="5">
        <v>63.8</v>
      </c>
      <c r="D4980" s="6">
        <v>65.5</v>
      </c>
      <c r="E4980" s="7">
        <f t="shared" si="77"/>
        <v>129.30000000000001</v>
      </c>
      <c r="F4980" s="8"/>
    </row>
    <row r="4981" spans="1:6" ht="18" customHeight="1">
      <c r="A4981" s="4" t="s">
        <v>167</v>
      </c>
      <c r="B4981" s="4" t="str">
        <f>"2020046717"</f>
        <v>2020046717</v>
      </c>
      <c r="C4981" s="5">
        <v>65.599999999999994</v>
      </c>
      <c r="D4981" s="6">
        <v>63.5</v>
      </c>
      <c r="E4981" s="7">
        <f t="shared" si="77"/>
        <v>129.1</v>
      </c>
      <c r="F4981" s="8"/>
    </row>
    <row r="4982" spans="1:6" ht="18" customHeight="1">
      <c r="A4982" s="4" t="s">
        <v>167</v>
      </c>
      <c r="B4982" s="4" t="str">
        <f>"2020046703"</f>
        <v>2020046703</v>
      </c>
      <c r="C4982" s="5">
        <v>66.099999999999994</v>
      </c>
      <c r="D4982" s="6">
        <v>62.5</v>
      </c>
      <c r="E4982" s="7">
        <f t="shared" si="77"/>
        <v>128.6</v>
      </c>
      <c r="F4982" s="8"/>
    </row>
    <row r="4983" spans="1:6" ht="18" customHeight="1">
      <c r="A4983" s="4" t="s">
        <v>167</v>
      </c>
      <c r="B4983" s="4" t="str">
        <f>"2020031605"</f>
        <v>2020031605</v>
      </c>
      <c r="C4983" s="5">
        <v>61.2</v>
      </c>
      <c r="D4983" s="6">
        <v>66</v>
      </c>
      <c r="E4983" s="7">
        <f t="shared" si="77"/>
        <v>127.2</v>
      </c>
      <c r="F4983" s="8"/>
    </row>
    <row r="4984" spans="1:6" ht="18" customHeight="1">
      <c r="A4984" s="4" t="s">
        <v>167</v>
      </c>
      <c r="B4984" s="4" t="str">
        <f>"2020040614"</f>
        <v>2020040614</v>
      </c>
      <c r="C4984" s="5">
        <v>71.900000000000006</v>
      </c>
      <c r="D4984" s="6">
        <v>55</v>
      </c>
      <c r="E4984" s="7">
        <f t="shared" si="77"/>
        <v>126.9</v>
      </c>
      <c r="F4984" s="8"/>
    </row>
    <row r="4985" spans="1:6" ht="18" customHeight="1">
      <c r="A4985" s="4" t="s">
        <v>167</v>
      </c>
      <c r="B4985" s="4" t="str">
        <f>"2020046016"</f>
        <v>2020046016</v>
      </c>
      <c r="C4985" s="5">
        <v>66.099999999999994</v>
      </c>
      <c r="D4985" s="6">
        <v>60.5</v>
      </c>
      <c r="E4985" s="7">
        <f t="shared" si="77"/>
        <v>126.6</v>
      </c>
      <c r="F4985" s="8"/>
    </row>
    <row r="4986" spans="1:6" ht="18" customHeight="1">
      <c r="A4986" s="4" t="s">
        <v>167</v>
      </c>
      <c r="B4986" s="4" t="str">
        <f>"2020032729"</f>
        <v>2020032729</v>
      </c>
      <c r="C4986" s="5">
        <v>65.900000000000006</v>
      </c>
      <c r="D4986" s="6">
        <v>60.5</v>
      </c>
      <c r="E4986" s="7">
        <f t="shared" si="77"/>
        <v>126.4</v>
      </c>
      <c r="F4986" s="8"/>
    </row>
    <row r="4987" spans="1:6" ht="18" customHeight="1">
      <c r="A4987" s="4" t="s">
        <v>167</v>
      </c>
      <c r="B4987" s="4" t="str">
        <f>"2020013029"</f>
        <v>2020013029</v>
      </c>
      <c r="C4987" s="5">
        <v>66.8</v>
      </c>
      <c r="D4987" s="6">
        <v>59.5</v>
      </c>
      <c r="E4987" s="7">
        <f t="shared" si="77"/>
        <v>126.3</v>
      </c>
      <c r="F4987" s="8"/>
    </row>
    <row r="4988" spans="1:6" ht="18" customHeight="1">
      <c r="A4988" s="4" t="s">
        <v>167</v>
      </c>
      <c r="B4988" s="4" t="str">
        <f>"2020045820"</f>
        <v>2020045820</v>
      </c>
      <c r="C4988" s="5">
        <v>65.7</v>
      </c>
      <c r="D4988" s="6">
        <v>60.5</v>
      </c>
      <c r="E4988" s="7">
        <f t="shared" si="77"/>
        <v>126.2</v>
      </c>
      <c r="F4988" s="8"/>
    </row>
    <row r="4989" spans="1:6" ht="18" customHeight="1">
      <c r="A4989" s="4" t="s">
        <v>167</v>
      </c>
      <c r="B4989" s="4" t="str">
        <f>"2020024017"</f>
        <v>2020024017</v>
      </c>
      <c r="C4989" s="5">
        <v>66.900000000000006</v>
      </c>
      <c r="D4989" s="6">
        <v>59</v>
      </c>
      <c r="E4989" s="7">
        <f t="shared" si="77"/>
        <v>125.9</v>
      </c>
      <c r="F4989" s="8"/>
    </row>
    <row r="4990" spans="1:6" ht="18" customHeight="1">
      <c r="A4990" s="4" t="s">
        <v>167</v>
      </c>
      <c r="B4990" s="4" t="str">
        <f>"2020033217"</f>
        <v>2020033217</v>
      </c>
      <c r="C4990" s="5">
        <v>61.3</v>
      </c>
      <c r="D4990" s="6">
        <v>64.5</v>
      </c>
      <c r="E4990" s="7">
        <f t="shared" si="77"/>
        <v>125.8</v>
      </c>
      <c r="F4990" s="8"/>
    </row>
    <row r="4991" spans="1:6" ht="18" customHeight="1">
      <c r="A4991" s="4" t="s">
        <v>167</v>
      </c>
      <c r="B4991" s="4" t="str">
        <f>"2020043415"</f>
        <v>2020043415</v>
      </c>
      <c r="C4991" s="5">
        <v>69.7</v>
      </c>
      <c r="D4991" s="6">
        <v>56</v>
      </c>
      <c r="E4991" s="7">
        <f t="shared" si="77"/>
        <v>125.7</v>
      </c>
      <c r="F4991" s="8"/>
    </row>
    <row r="4992" spans="1:6" ht="18" customHeight="1">
      <c r="A4992" s="4" t="s">
        <v>167</v>
      </c>
      <c r="B4992" s="4" t="str">
        <f>"2020013914"</f>
        <v>2020013914</v>
      </c>
      <c r="C4992" s="5">
        <v>66.8</v>
      </c>
      <c r="D4992" s="6">
        <v>58.5</v>
      </c>
      <c r="E4992" s="7">
        <f t="shared" si="77"/>
        <v>125.3</v>
      </c>
      <c r="F4992" s="8"/>
    </row>
    <row r="4993" spans="1:6" ht="18" customHeight="1">
      <c r="A4993" s="4" t="s">
        <v>167</v>
      </c>
      <c r="B4993" s="4" t="str">
        <f>"2020031113"</f>
        <v>2020031113</v>
      </c>
      <c r="C4993" s="5">
        <v>61.8</v>
      </c>
      <c r="D4993" s="6">
        <v>62.5</v>
      </c>
      <c r="E4993" s="7">
        <f t="shared" si="77"/>
        <v>124.3</v>
      </c>
      <c r="F4993" s="8"/>
    </row>
    <row r="4994" spans="1:6" ht="18" customHeight="1">
      <c r="A4994" s="4" t="s">
        <v>167</v>
      </c>
      <c r="B4994" s="4" t="str">
        <f>"2020030715"</f>
        <v>2020030715</v>
      </c>
      <c r="C4994" s="5">
        <v>60.9</v>
      </c>
      <c r="D4994" s="6">
        <v>62.5</v>
      </c>
      <c r="E4994" s="7">
        <f t="shared" si="77"/>
        <v>123.4</v>
      </c>
      <c r="F4994" s="8"/>
    </row>
    <row r="4995" spans="1:6" ht="18" customHeight="1">
      <c r="A4995" s="4" t="s">
        <v>167</v>
      </c>
      <c r="B4995" s="4" t="str">
        <f>"2020041130"</f>
        <v>2020041130</v>
      </c>
      <c r="C4995" s="5">
        <v>69.5</v>
      </c>
      <c r="D4995" s="6">
        <v>53.5</v>
      </c>
      <c r="E4995" s="7">
        <f t="shared" ref="E4995:E5058" si="78">SUM(C4995:D4995)</f>
        <v>123</v>
      </c>
      <c r="F4995" s="8"/>
    </row>
    <row r="4996" spans="1:6" ht="18" customHeight="1">
      <c r="A4996" s="4" t="s">
        <v>167</v>
      </c>
      <c r="B4996" s="4" t="str">
        <f>"2020021310"</f>
        <v>2020021310</v>
      </c>
      <c r="C4996" s="5">
        <v>62.1</v>
      </c>
      <c r="D4996" s="6">
        <v>59.5</v>
      </c>
      <c r="E4996" s="7">
        <f t="shared" si="78"/>
        <v>121.6</v>
      </c>
      <c r="F4996" s="8"/>
    </row>
    <row r="4997" spans="1:6" ht="18" customHeight="1">
      <c r="A4997" s="4" t="s">
        <v>167</v>
      </c>
      <c r="B4997" s="4" t="str">
        <f>"2020045305"</f>
        <v>2020045305</v>
      </c>
      <c r="C4997" s="5">
        <v>55.5</v>
      </c>
      <c r="D4997" s="6">
        <v>66</v>
      </c>
      <c r="E4997" s="7">
        <f t="shared" si="78"/>
        <v>121.5</v>
      </c>
      <c r="F4997" s="8"/>
    </row>
    <row r="4998" spans="1:6" ht="18" customHeight="1">
      <c r="A4998" s="4" t="s">
        <v>167</v>
      </c>
      <c r="B4998" s="4" t="str">
        <f>"2020031110"</f>
        <v>2020031110</v>
      </c>
      <c r="C4998" s="5">
        <v>62.6</v>
      </c>
      <c r="D4998" s="6">
        <v>58.5</v>
      </c>
      <c r="E4998" s="7">
        <f t="shared" si="78"/>
        <v>121.1</v>
      </c>
      <c r="F4998" s="8"/>
    </row>
    <row r="4999" spans="1:6" ht="18" customHeight="1">
      <c r="A4999" s="4" t="s">
        <v>167</v>
      </c>
      <c r="B4999" s="4" t="str">
        <f>"2020024125"</f>
        <v>2020024125</v>
      </c>
      <c r="C4999" s="5">
        <v>64.8</v>
      </c>
      <c r="D4999" s="6">
        <v>56</v>
      </c>
      <c r="E4999" s="7">
        <f t="shared" si="78"/>
        <v>120.8</v>
      </c>
      <c r="F4999" s="8"/>
    </row>
    <row r="5000" spans="1:6" ht="18" customHeight="1">
      <c r="A5000" s="4" t="s">
        <v>167</v>
      </c>
      <c r="B5000" s="4" t="str">
        <f>"2020031909"</f>
        <v>2020031909</v>
      </c>
      <c r="C5000" s="5">
        <v>66.7</v>
      </c>
      <c r="D5000" s="6">
        <v>53</v>
      </c>
      <c r="E5000" s="7">
        <f t="shared" si="78"/>
        <v>119.7</v>
      </c>
      <c r="F5000" s="8"/>
    </row>
    <row r="5001" spans="1:6" ht="18" customHeight="1">
      <c r="A5001" s="4" t="s">
        <v>167</v>
      </c>
      <c r="B5001" s="4" t="str">
        <f>"2020011111"</f>
        <v>2020011111</v>
      </c>
      <c r="C5001" s="5">
        <v>55.6</v>
      </c>
      <c r="D5001" s="6">
        <v>61.5</v>
      </c>
      <c r="E5001" s="7">
        <f t="shared" si="78"/>
        <v>117.1</v>
      </c>
      <c r="F5001" s="8"/>
    </row>
    <row r="5002" spans="1:6" ht="18" customHeight="1">
      <c r="A5002" s="4" t="s">
        <v>167</v>
      </c>
      <c r="B5002" s="4" t="str">
        <f>"2020043305"</f>
        <v>2020043305</v>
      </c>
      <c r="C5002" s="5">
        <v>65.3</v>
      </c>
      <c r="D5002" s="6">
        <v>50.5</v>
      </c>
      <c r="E5002" s="7">
        <f t="shared" si="78"/>
        <v>115.8</v>
      </c>
      <c r="F5002" s="8"/>
    </row>
    <row r="5003" spans="1:6" ht="18" customHeight="1">
      <c r="A5003" s="4" t="s">
        <v>167</v>
      </c>
      <c r="B5003" s="4" t="str">
        <f>"2020032623"</f>
        <v>2020032623</v>
      </c>
      <c r="C5003" s="5">
        <v>62.3</v>
      </c>
      <c r="D5003" s="6">
        <v>53</v>
      </c>
      <c r="E5003" s="7">
        <f t="shared" si="78"/>
        <v>115.3</v>
      </c>
      <c r="F5003" s="8"/>
    </row>
    <row r="5004" spans="1:6" ht="18" customHeight="1">
      <c r="A5004" s="4" t="s">
        <v>167</v>
      </c>
      <c r="B5004" s="4" t="str">
        <f>"2020034006"</f>
        <v>2020034006</v>
      </c>
      <c r="C5004" s="5">
        <v>54.7</v>
      </c>
      <c r="D5004" s="6">
        <v>58.5</v>
      </c>
      <c r="E5004" s="7">
        <f t="shared" si="78"/>
        <v>113.2</v>
      </c>
      <c r="F5004" s="8"/>
    </row>
    <row r="5005" spans="1:6" ht="18" customHeight="1">
      <c r="A5005" s="4" t="s">
        <v>167</v>
      </c>
      <c r="B5005" s="4" t="str">
        <f>"2020031430"</f>
        <v>2020031430</v>
      </c>
      <c r="C5005" s="5">
        <v>63.9</v>
      </c>
      <c r="D5005" s="6">
        <v>49</v>
      </c>
      <c r="E5005" s="7">
        <f t="shared" si="78"/>
        <v>112.9</v>
      </c>
      <c r="F5005" s="8"/>
    </row>
    <row r="5006" spans="1:6" ht="18" customHeight="1">
      <c r="A5006" s="4" t="s">
        <v>167</v>
      </c>
      <c r="B5006" s="4" t="str">
        <f>"2020021426"</f>
        <v>2020021426</v>
      </c>
      <c r="C5006" s="5">
        <v>58.3</v>
      </c>
      <c r="D5006" s="6">
        <v>54.5</v>
      </c>
      <c r="E5006" s="7">
        <f t="shared" si="78"/>
        <v>112.8</v>
      </c>
      <c r="F5006" s="8"/>
    </row>
    <row r="5007" spans="1:6" ht="18" customHeight="1">
      <c r="A5007" s="4" t="s">
        <v>167</v>
      </c>
      <c r="B5007" s="4" t="str">
        <f>"2020040230"</f>
        <v>2020040230</v>
      </c>
      <c r="C5007" s="5">
        <v>61.6</v>
      </c>
      <c r="D5007" s="6">
        <v>51</v>
      </c>
      <c r="E5007" s="7">
        <f t="shared" si="78"/>
        <v>112.6</v>
      </c>
      <c r="F5007" s="8"/>
    </row>
    <row r="5008" spans="1:6" ht="18" customHeight="1">
      <c r="A5008" s="4" t="s">
        <v>167</v>
      </c>
      <c r="B5008" s="4" t="str">
        <f>"2020033819"</f>
        <v>2020033819</v>
      </c>
      <c r="C5008" s="5">
        <v>56.1</v>
      </c>
      <c r="D5008" s="6">
        <v>56.5</v>
      </c>
      <c r="E5008" s="7">
        <f t="shared" si="78"/>
        <v>112.6</v>
      </c>
      <c r="F5008" s="8"/>
    </row>
    <row r="5009" spans="1:6" ht="18" customHeight="1">
      <c r="A5009" s="4" t="s">
        <v>167</v>
      </c>
      <c r="B5009" s="4" t="str">
        <f>"2020013421"</f>
        <v>2020013421</v>
      </c>
      <c r="C5009" s="5">
        <v>59.3</v>
      </c>
      <c r="D5009" s="6">
        <v>53</v>
      </c>
      <c r="E5009" s="7">
        <f t="shared" si="78"/>
        <v>112.3</v>
      </c>
      <c r="F5009" s="8"/>
    </row>
    <row r="5010" spans="1:6" ht="18" customHeight="1">
      <c r="A5010" s="4" t="s">
        <v>167</v>
      </c>
      <c r="B5010" s="4" t="str">
        <f>"2020044618"</f>
        <v>2020044618</v>
      </c>
      <c r="C5010" s="5">
        <v>57.7</v>
      </c>
      <c r="D5010" s="6">
        <v>54</v>
      </c>
      <c r="E5010" s="7">
        <f t="shared" si="78"/>
        <v>111.7</v>
      </c>
      <c r="F5010" s="8"/>
    </row>
    <row r="5011" spans="1:6" ht="18" customHeight="1">
      <c r="A5011" s="4" t="s">
        <v>167</v>
      </c>
      <c r="B5011" s="4" t="str">
        <f>"2020012229"</f>
        <v>2020012229</v>
      </c>
      <c r="C5011" s="5">
        <v>54.2</v>
      </c>
      <c r="D5011" s="6">
        <v>57</v>
      </c>
      <c r="E5011" s="7">
        <f t="shared" si="78"/>
        <v>111.2</v>
      </c>
      <c r="F5011" s="8"/>
    </row>
    <row r="5012" spans="1:6" ht="18" customHeight="1">
      <c r="A5012" s="4" t="s">
        <v>167</v>
      </c>
      <c r="B5012" s="4" t="str">
        <f>"2020024509"</f>
        <v>2020024509</v>
      </c>
      <c r="C5012" s="5">
        <v>52.1</v>
      </c>
      <c r="D5012" s="6">
        <v>59</v>
      </c>
      <c r="E5012" s="7">
        <f t="shared" si="78"/>
        <v>111.1</v>
      </c>
      <c r="F5012" s="8"/>
    </row>
    <row r="5013" spans="1:6" ht="18" customHeight="1">
      <c r="A5013" s="4" t="s">
        <v>167</v>
      </c>
      <c r="B5013" s="4" t="str">
        <f>"2020046914"</f>
        <v>2020046914</v>
      </c>
      <c r="C5013" s="5">
        <v>58.9</v>
      </c>
      <c r="D5013" s="6">
        <v>52</v>
      </c>
      <c r="E5013" s="7">
        <f t="shared" si="78"/>
        <v>110.9</v>
      </c>
      <c r="F5013" s="8"/>
    </row>
    <row r="5014" spans="1:6" ht="18" customHeight="1">
      <c r="A5014" s="4" t="s">
        <v>167</v>
      </c>
      <c r="B5014" s="4" t="str">
        <f>"2020023502"</f>
        <v>2020023502</v>
      </c>
      <c r="C5014" s="5">
        <v>57.3</v>
      </c>
      <c r="D5014" s="6">
        <v>53.5</v>
      </c>
      <c r="E5014" s="7">
        <f t="shared" si="78"/>
        <v>110.8</v>
      </c>
      <c r="F5014" s="8"/>
    </row>
    <row r="5015" spans="1:6" ht="18" customHeight="1">
      <c r="A5015" s="4" t="s">
        <v>167</v>
      </c>
      <c r="B5015" s="4" t="str">
        <f>"2020032006"</f>
        <v>2020032006</v>
      </c>
      <c r="C5015" s="5">
        <v>61.1</v>
      </c>
      <c r="D5015" s="6">
        <v>49</v>
      </c>
      <c r="E5015" s="7">
        <f t="shared" si="78"/>
        <v>110.1</v>
      </c>
      <c r="F5015" s="8"/>
    </row>
    <row r="5016" spans="1:6" ht="18" customHeight="1">
      <c r="A5016" s="4" t="s">
        <v>167</v>
      </c>
      <c r="B5016" s="4" t="str">
        <f>"2020024530"</f>
        <v>2020024530</v>
      </c>
      <c r="C5016" s="5">
        <v>61.4</v>
      </c>
      <c r="D5016" s="6">
        <v>48.5</v>
      </c>
      <c r="E5016" s="7">
        <f t="shared" si="78"/>
        <v>109.9</v>
      </c>
      <c r="F5016" s="8"/>
    </row>
    <row r="5017" spans="1:6" ht="18" customHeight="1">
      <c r="A5017" s="4" t="s">
        <v>167</v>
      </c>
      <c r="B5017" s="4" t="str">
        <f>"2020021614"</f>
        <v>2020021614</v>
      </c>
      <c r="C5017" s="5">
        <v>59.9</v>
      </c>
      <c r="D5017" s="6">
        <v>50</v>
      </c>
      <c r="E5017" s="7">
        <f t="shared" si="78"/>
        <v>109.9</v>
      </c>
      <c r="F5017" s="8"/>
    </row>
    <row r="5018" spans="1:6" ht="18" customHeight="1">
      <c r="A5018" s="4" t="s">
        <v>167</v>
      </c>
      <c r="B5018" s="4" t="str">
        <f>"2020010319"</f>
        <v>2020010319</v>
      </c>
      <c r="C5018" s="5">
        <v>57</v>
      </c>
      <c r="D5018" s="6">
        <v>52.5</v>
      </c>
      <c r="E5018" s="7">
        <f t="shared" si="78"/>
        <v>109.5</v>
      </c>
      <c r="F5018" s="8"/>
    </row>
    <row r="5019" spans="1:6" ht="18" customHeight="1">
      <c r="A5019" s="4" t="s">
        <v>167</v>
      </c>
      <c r="B5019" s="4" t="str">
        <f>"2020011828"</f>
        <v>2020011828</v>
      </c>
      <c r="C5019" s="5">
        <v>60.3</v>
      </c>
      <c r="D5019" s="6">
        <v>49</v>
      </c>
      <c r="E5019" s="7">
        <f t="shared" si="78"/>
        <v>109.3</v>
      </c>
      <c r="F5019" s="8"/>
    </row>
    <row r="5020" spans="1:6" ht="18" customHeight="1">
      <c r="A5020" s="4" t="s">
        <v>167</v>
      </c>
      <c r="B5020" s="4" t="str">
        <f>"2020044502"</f>
        <v>2020044502</v>
      </c>
      <c r="C5020" s="5">
        <v>56.1</v>
      </c>
      <c r="D5020" s="6">
        <v>53</v>
      </c>
      <c r="E5020" s="7">
        <f t="shared" si="78"/>
        <v>109.1</v>
      </c>
      <c r="F5020" s="8"/>
    </row>
    <row r="5021" spans="1:6" ht="18" customHeight="1">
      <c r="A5021" s="4" t="s">
        <v>167</v>
      </c>
      <c r="B5021" s="4" t="str">
        <f>"2020045715"</f>
        <v>2020045715</v>
      </c>
      <c r="C5021" s="5">
        <v>62.3</v>
      </c>
      <c r="D5021" s="6">
        <v>45.5</v>
      </c>
      <c r="E5021" s="7">
        <f t="shared" si="78"/>
        <v>107.8</v>
      </c>
      <c r="F5021" s="8"/>
    </row>
    <row r="5022" spans="1:6" ht="18" customHeight="1">
      <c r="A5022" s="4" t="s">
        <v>167</v>
      </c>
      <c r="B5022" s="4" t="str">
        <f>"2020032929"</f>
        <v>2020032929</v>
      </c>
      <c r="C5022" s="5">
        <v>55.1</v>
      </c>
      <c r="D5022" s="6">
        <v>49.5</v>
      </c>
      <c r="E5022" s="7">
        <f t="shared" si="78"/>
        <v>104.6</v>
      </c>
      <c r="F5022" s="8"/>
    </row>
    <row r="5023" spans="1:6" ht="18" customHeight="1">
      <c r="A5023" s="4" t="s">
        <v>167</v>
      </c>
      <c r="B5023" s="4" t="str">
        <f>"2020033905"</f>
        <v>2020033905</v>
      </c>
      <c r="C5023" s="5">
        <v>63.6</v>
      </c>
      <c r="D5023" s="6">
        <v>39.5</v>
      </c>
      <c r="E5023" s="7">
        <f t="shared" si="78"/>
        <v>103.1</v>
      </c>
      <c r="F5023" s="8"/>
    </row>
    <row r="5024" spans="1:6" ht="18" customHeight="1">
      <c r="A5024" s="4" t="s">
        <v>167</v>
      </c>
      <c r="B5024" s="4" t="str">
        <f>"2020010503"</f>
        <v>2020010503</v>
      </c>
      <c r="C5024" s="5">
        <v>48.5</v>
      </c>
      <c r="D5024" s="6">
        <v>54.5</v>
      </c>
      <c r="E5024" s="7">
        <f t="shared" si="78"/>
        <v>103</v>
      </c>
      <c r="F5024" s="8"/>
    </row>
    <row r="5025" spans="1:6" ht="18" customHeight="1">
      <c r="A5025" s="4" t="s">
        <v>167</v>
      </c>
      <c r="B5025" s="4" t="str">
        <f>"2020043126"</f>
        <v>2020043126</v>
      </c>
      <c r="C5025" s="5">
        <v>47.2</v>
      </c>
      <c r="D5025" s="6">
        <v>55</v>
      </c>
      <c r="E5025" s="7">
        <f t="shared" si="78"/>
        <v>102.2</v>
      </c>
      <c r="F5025" s="8"/>
    </row>
    <row r="5026" spans="1:6" ht="18" customHeight="1">
      <c r="A5026" s="4" t="s">
        <v>167</v>
      </c>
      <c r="B5026" s="4" t="str">
        <f>"2020021724"</f>
        <v>2020021724</v>
      </c>
      <c r="C5026" s="5">
        <v>49.5</v>
      </c>
      <c r="D5026" s="6">
        <v>51</v>
      </c>
      <c r="E5026" s="7">
        <f t="shared" si="78"/>
        <v>100.5</v>
      </c>
      <c r="F5026" s="8"/>
    </row>
    <row r="5027" spans="1:6" ht="18" customHeight="1">
      <c r="A5027" s="4" t="s">
        <v>167</v>
      </c>
      <c r="B5027" s="4" t="str">
        <f>"2020030917"</f>
        <v>2020030917</v>
      </c>
      <c r="C5027" s="5">
        <v>55.1</v>
      </c>
      <c r="D5027" s="6">
        <v>43.5</v>
      </c>
      <c r="E5027" s="7">
        <f t="shared" si="78"/>
        <v>98.6</v>
      </c>
      <c r="F5027" s="8"/>
    </row>
    <row r="5028" spans="1:6" ht="18" customHeight="1">
      <c r="A5028" s="4" t="s">
        <v>167</v>
      </c>
      <c r="B5028" s="4" t="str">
        <f>"2020033716"</f>
        <v>2020033716</v>
      </c>
      <c r="C5028" s="5">
        <v>56.1</v>
      </c>
      <c r="D5028" s="6">
        <v>38</v>
      </c>
      <c r="E5028" s="7">
        <f t="shared" si="78"/>
        <v>94.1</v>
      </c>
      <c r="F5028" s="8"/>
    </row>
    <row r="5029" spans="1:6" ht="18" customHeight="1">
      <c r="A5029" s="4" t="s">
        <v>167</v>
      </c>
      <c r="B5029" s="4" t="str">
        <f>"2020043101"</f>
        <v>2020043101</v>
      </c>
      <c r="C5029" s="5">
        <v>49.3</v>
      </c>
      <c r="D5029" s="6">
        <v>44</v>
      </c>
      <c r="E5029" s="7">
        <f t="shared" si="78"/>
        <v>93.3</v>
      </c>
      <c r="F5029" s="8"/>
    </row>
    <row r="5030" spans="1:6" ht="18" customHeight="1">
      <c r="A5030" s="4" t="s">
        <v>167</v>
      </c>
      <c r="B5030" s="4" t="str">
        <f>"2020033108"</f>
        <v>2020033108</v>
      </c>
      <c r="C5030" s="5">
        <v>53.5</v>
      </c>
      <c r="D5030" s="6">
        <v>38</v>
      </c>
      <c r="E5030" s="7">
        <f t="shared" si="78"/>
        <v>91.5</v>
      </c>
      <c r="F5030" s="8"/>
    </row>
    <row r="5031" spans="1:6" ht="18" customHeight="1">
      <c r="A5031" s="4" t="s">
        <v>167</v>
      </c>
      <c r="B5031" s="4" t="str">
        <f>"2020046509"</f>
        <v>2020046509</v>
      </c>
      <c r="C5031" s="5">
        <v>43.3</v>
      </c>
      <c r="D5031" s="6">
        <v>48</v>
      </c>
      <c r="E5031" s="7">
        <f t="shared" si="78"/>
        <v>91.3</v>
      </c>
      <c r="F5031" s="8"/>
    </row>
    <row r="5032" spans="1:6" ht="18" customHeight="1">
      <c r="A5032" s="4" t="s">
        <v>167</v>
      </c>
      <c r="B5032" s="4" t="str">
        <f>"2020024021"</f>
        <v>2020024021</v>
      </c>
      <c r="C5032" s="5">
        <v>51.2</v>
      </c>
      <c r="D5032" s="6">
        <v>30</v>
      </c>
      <c r="E5032" s="7">
        <f t="shared" si="78"/>
        <v>81.2</v>
      </c>
      <c r="F5032" s="8"/>
    </row>
    <row r="5033" spans="1:6" ht="18" customHeight="1">
      <c r="A5033" s="4" t="s">
        <v>167</v>
      </c>
      <c r="B5033" s="4" t="str">
        <f>"2020023621"</f>
        <v>2020023621</v>
      </c>
      <c r="C5033" s="5">
        <v>37.4</v>
      </c>
      <c r="D5033" s="6">
        <v>43</v>
      </c>
      <c r="E5033" s="7">
        <f t="shared" si="78"/>
        <v>80.400000000000006</v>
      </c>
      <c r="F5033" s="9"/>
    </row>
    <row r="5034" spans="1:6" ht="18" customHeight="1">
      <c r="A5034" s="4" t="s">
        <v>167</v>
      </c>
      <c r="B5034" s="4" t="str">
        <f>"2020023610"</f>
        <v>2020023610</v>
      </c>
      <c r="C5034" s="5">
        <v>42.3</v>
      </c>
      <c r="D5034" s="6">
        <v>34.5</v>
      </c>
      <c r="E5034" s="7">
        <f t="shared" si="78"/>
        <v>76.8</v>
      </c>
      <c r="F5034" s="8"/>
    </row>
    <row r="5035" spans="1:6" ht="18" customHeight="1">
      <c r="A5035" s="4" t="s">
        <v>167</v>
      </c>
      <c r="B5035" s="4" t="str">
        <f>"2020046329"</f>
        <v>2020046329</v>
      </c>
      <c r="C5035" s="5">
        <v>51.2</v>
      </c>
      <c r="D5035" s="6">
        <v>21</v>
      </c>
      <c r="E5035" s="7">
        <f t="shared" si="78"/>
        <v>72.2</v>
      </c>
      <c r="F5035" s="8"/>
    </row>
    <row r="5036" spans="1:6" ht="18" customHeight="1">
      <c r="A5036" s="4" t="s">
        <v>167</v>
      </c>
      <c r="B5036" s="4" t="str">
        <f>"2020042011"</f>
        <v>2020042011</v>
      </c>
      <c r="C5036" s="5">
        <v>45.3</v>
      </c>
      <c r="D5036" s="6">
        <v>17</v>
      </c>
      <c r="E5036" s="7">
        <f t="shared" si="78"/>
        <v>62.3</v>
      </c>
      <c r="F5036" s="8"/>
    </row>
    <row r="5037" spans="1:6" ht="18" customHeight="1">
      <c r="A5037" s="4" t="s">
        <v>167</v>
      </c>
      <c r="B5037" s="4" t="str">
        <f>"2020010314"</f>
        <v>2020010314</v>
      </c>
      <c r="C5037" s="5">
        <v>0</v>
      </c>
      <c r="D5037" s="6">
        <v>0</v>
      </c>
      <c r="E5037" s="7">
        <f t="shared" si="78"/>
        <v>0</v>
      </c>
      <c r="F5037" s="9" t="s">
        <v>8</v>
      </c>
    </row>
    <row r="5038" spans="1:6" ht="18" customHeight="1">
      <c r="A5038" s="4" t="s">
        <v>167</v>
      </c>
      <c r="B5038" s="4" t="str">
        <f>"2020011303"</f>
        <v>2020011303</v>
      </c>
      <c r="C5038" s="5">
        <v>0</v>
      </c>
      <c r="D5038" s="6">
        <v>0</v>
      </c>
      <c r="E5038" s="7">
        <f t="shared" si="78"/>
        <v>0</v>
      </c>
      <c r="F5038" s="9" t="s">
        <v>8</v>
      </c>
    </row>
    <row r="5039" spans="1:6" ht="18" customHeight="1">
      <c r="A5039" s="4" t="s">
        <v>167</v>
      </c>
      <c r="B5039" s="4" t="str">
        <f>"2020012427"</f>
        <v>2020012427</v>
      </c>
      <c r="C5039" s="5">
        <v>0</v>
      </c>
      <c r="D5039" s="6">
        <v>0</v>
      </c>
      <c r="E5039" s="7">
        <f t="shared" si="78"/>
        <v>0</v>
      </c>
      <c r="F5039" s="9" t="s">
        <v>8</v>
      </c>
    </row>
    <row r="5040" spans="1:6" ht="18" customHeight="1">
      <c r="A5040" s="4" t="s">
        <v>167</v>
      </c>
      <c r="B5040" s="4" t="str">
        <f>"2020021529"</f>
        <v>2020021529</v>
      </c>
      <c r="C5040" s="5">
        <v>0</v>
      </c>
      <c r="D5040" s="6">
        <v>0</v>
      </c>
      <c r="E5040" s="7">
        <f t="shared" si="78"/>
        <v>0</v>
      </c>
      <c r="F5040" s="8" t="s">
        <v>8</v>
      </c>
    </row>
    <row r="5041" spans="1:6" ht="18" customHeight="1">
      <c r="A5041" s="4" t="s">
        <v>167</v>
      </c>
      <c r="B5041" s="4" t="str">
        <f>"2020023321"</f>
        <v>2020023321</v>
      </c>
      <c r="C5041" s="5">
        <v>0</v>
      </c>
      <c r="D5041" s="6">
        <v>0</v>
      </c>
      <c r="E5041" s="7">
        <f t="shared" si="78"/>
        <v>0</v>
      </c>
      <c r="F5041" s="8" t="s">
        <v>8</v>
      </c>
    </row>
    <row r="5042" spans="1:6" ht="18" customHeight="1">
      <c r="A5042" s="4" t="s">
        <v>167</v>
      </c>
      <c r="B5042" s="4" t="str">
        <f>"2020024514"</f>
        <v>2020024514</v>
      </c>
      <c r="C5042" s="5">
        <v>0</v>
      </c>
      <c r="D5042" s="6">
        <v>0</v>
      </c>
      <c r="E5042" s="7">
        <f t="shared" si="78"/>
        <v>0</v>
      </c>
      <c r="F5042" s="8" t="s">
        <v>8</v>
      </c>
    </row>
    <row r="5043" spans="1:6" ht="18" customHeight="1">
      <c r="A5043" s="4" t="s">
        <v>167</v>
      </c>
      <c r="B5043" s="4" t="str">
        <f>"2020030104"</f>
        <v>2020030104</v>
      </c>
      <c r="C5043" s="5">
        <v>0</v>
      </c>
      <c r="D5043" s="6">
        <v>0</v>
      </c>
      <c r="E5043" s="7">
        <f t="shared" si="78"/>
        <v>0</v>
      </c>
      <c r="F5043" s="8" t="s">
        <v>8</v>
      </c>
    </row>
    <row r="5044" spans="1:6" ht="18" customHeight="1">
      <c r="A5044" s="4" t="s">
        <v>167</v>
      </c>
      <c r="B5044" s="4" t="str">
        <f>"2020031711"</f>
        <v>2020031711</v>
      </c>
      <c r="C5044" s="5">
        <v>0</v>
      </c>
      <c r="D5044" s="6">
        <v>0</v>
      </c>
      <c r="E5044" s="7">
        <f t="shared" si="78"/>
        <v>0</v>
      </c>
      <c r="F5044" s="8" t="s">
        <v>8</v>
      </c>
    </row>
    <row r="5045" spans="1:6" ht="18" customHeight="1">
      <c r="A5045" s="4" t="s">
        <v>167</v>
      </c>
      <c r="B5045" s="4" t="str">
        <f>"2020033507"</f>
        <v>2020033507</v>
      </c>
      <c r="C5045" s="5">
        <v>0</v>
      </c>
      <c r="D5045" s="6">
        <v>0</v>
      </c>
      <c r="E5045" s="7">
        <f t="shared" si="78"/>
        <v>0</v>
      </c>
      <c r="F5045" s="8" t="s">
        <v>8</v>
      </c>
    </row>
    <row r="5046" spans="1:6" ht="18" customHeight="1">
      <c r="A5046" s="4" t="s">
        <v>167</v>
      </c>
      <c r="B5046" s="4" t="str">
        <f>"2020041106"</f>
        <v>2020041106</v>
      </c>
      <c r="C5046" s="5">
        <v>0</v>
      </c>
      <c r="D5046" s="6">
        <v>0</v>
      </c>
      <c r="E5046" s="7">
        <f t="shared" si="78"/>
        <v>0</v>
      </c>
      <c r="F5046" s="8" t="s">
        <v>8</v>
      </c>
    </row>
    <row r="5047" spans="1:6" ht="18" customHeight="1">
      <c r="A5047" s="4" t="s">
        <v>167</v>
      </c>
      <c r="B5047" s="4" t="str">
        <f>"2020044922"</f>
        <v>2020044922</v>
      </c>
      <c r="C5047" s="5">
        <v>0</v>
      </c>
      <c r="D5047" s="6">
        <v>0</v>
      </c>
      <c r="E5047" s="7">
        <f t="shared" si="78"/>
        <v>0</v>
      </c>
      <c r="F5047" s="8" t="s">
        <v>8</v>
      </c>
    </row>
    <row r="5048" spans="1:6" ht="18" customHeight="1">
      <c r="A5048" s="4" t="s">
        <v>168</v>
      </c>
      <c r="B5048" s="4" t="str">
        <f>"2020011805"</f>
        <v>2020011805</v>
      </c>
      <c r="C5048" s="5">
        <v>73.400000000000006</v>
      </c>
      <c r="D5048" s="6">
        <v>81</v>
      </c>
      <c r="E5048" s="7">
        <f t="shared" si="78"/>
        <v>154.4</v>
      </c>
      <c r="F5048" s="8"/>
    </row>
    <row r="5049" spans="1:6" ht="18" customHeight="1">
      <c r="A5049" s="4" t="s">
        <v>168</v>
      </c>
      <c r="B5049" s="4" t="str">
        <f>"2020047208"</f>
        <v>2020047208</v>
      </c>
      <c r="C5049" s="5">
        <v>81.099999999999994</v>
      </c>
      <c r="D5049" s="6">
        <v>69.5</v>
      </c>
      <c r="E5049" s="7">
        <f t="shared" si="78"/>
        <v>150.6</v>
      </c>
      <c r="F5049" s="8"/>
    </row>
    <row r="5050" spans="1:6" ht="18" customHeight="1">
      <c r="A5050" s="4" t="s">
        <v>168</v>
      </c>
      <c r="B5050" s="4" t="str">
        <f>"2020041328"</f>
        <v>2020041328</v>
      </c>
      <c r="C5050" s="5">
        <v>76.099999999999994</v>
      </c>
      <c r="D5050" s="6">
        <v>71</v>
      </c>
      <c r="E5050" s="7">
        <f t="shared" si="78"/>
        <v>147.1</v>
      </c>
      <c r="F5050" s="8"/>
    </row>
    <row r="5051" spans="1:6" ht="18" customHeight="1">
      <c r="A5051" s="4" t="s">
        <v>168</v>
      </c>
      <c r="B5051" s="4" t="str">
        <f>"2020011510"</f>
        <v>2020011510</v>
      </c>
      <c r="C5051" s="5">
        <v>73.900000000000006</v>
      </c>
      <c r="D5051" s="6">
        <v>72</v>
      </c>
      <c r="E5051" s="7">
        <f t="shared" si="78"/>
        <v>145.9</v>
      </c>
      <c r="F5051" s="8"/>
    </row>
    <row r="5052" spans="1:6" ht="18" customHeight="1">
      <c r="A5052" s="4" t="s">
        <v>168</v>
      </c>
      <c r="B5052" s="4" t="str">
        <f>"2020023708"</f>
        <v>2020023708</v>
      </c>
      <c r="C5052" s="5">
        <v>70.3</v>
      </c>
      <c r="D5052" s="6">
        <v>72.5</v>
      </c>
      <c r="E5052" s="7">
        <f t="shared" si="78"/>
        <v>142.80000000000001</v>
      </c>
      <c r="F5052" s="8"/>
    </row>
    <row r="5053" spans="1:6" ht="18" customHeight="1">
      <c r="A5053" s="4" t="s">
        <v>168</v>
      </c>
      <c r="B5053" s="4" t="str">
        <f>"2020020420"</f>
        <v>2020020420</v>
      </c>
      <c r="C5053" s="5">
        <v>68.5</v>
      </c>
      <c r="D5053" s="6">
        <v>66</v>
      </c>
      <c r="E5053" s="7">
        <f t="shared" si="78"/>
        <v>134.5</v>
      </c>
      <c r="F5053" s="8"/>
    </row>
    <row r="5054" spans="1:6" ht="18" customHeight="1">
      <c r="A5054" s="4" t="s">
        <v>168</v>
      </c>
      <c r="B5054" s="4" t="str">
        <f>"2020040216"</f>
        <v>2020040216</v>
      </c>
      <c r="C5054" s="5">
        <v>67.8</v>
      </c>
      <c r="D5054" s="6">
        <v>66.5</v>
      </c>
      <c r="E5054" s="7">
        <f t="shared" si="78"/>
        <v>134.30000000000001</v>
      </c>
      <c r="F5054" s="8"/>
    </row>
    <row r="5055" spans="1:6" ht="18" customHeight="1">
      <c r="A5055" s="4" t="s">
        <v>168</v>
      </c>
      <c r="B5055" s="4" t="str">
        <f>"2020024208"</f>
        <v>2020024208</v>
      </c>
      <c r="C5055" s="5">
        <v>59</v>
      </c>
      <c r="D5055" s="6">
        <v>68</v>
      </c>
      <c r="E5055" s="7">
        <f t="shared" si="78"/>
        <v>127</v>
      </c>
      <c r="F5055" s="8"/>
    </row>
    <row r="5056" spans="1:6" ht="18" customHeight="1">
      <c r="A5056" s="4" t="s">
        <v>168</v>
      </c>
      <c r="B5056" s="4" t="str">
        <f>"2020012505"</f>
        <v>2020012505</v>
      </c>
      <c r="C5056" s="5">
        <v>68.599999999999994</v>
      </c>
      <c r="D5056" s="6">
        <v>52</v>
      </c>
      <c r="E5056" s="7">
        <f t="shared" si="78"/>
        <v>120.6</v>
      </c>
      <c r="F5056" s="8"/>
    </row>
    <row r="5057" spans="1:6" ht="18" customHeight="1">
      <c r="A5057" s="4" t="s">
        <v>168</v>
      </c>
      <c r="B5057" s="4" t="str">
        <f>"2020021502"</f>
        <v>2020021502</v>
      </c>
      <c r="C5057" s="5">
        <v>59.5</v>
      </c>
      <c r="D5057" s="6">
        <v>59.5</v>
      </c>
      <c r="E5057" s="7">
        <f t="shared" si="78"/>
        <v>119</v>
      </c>
      <c r="F5057" s="8"/>
    </row>
    <row r="5058" spans="1:6" ht="18" customHeight="1">
      <c r="A5058" s="4" t="s">
        <v>169</v>
      </c>
      <c r="B5058" s="4" t="str">
        <f>"2020042719"</f>
        <v>2020042719</v>
      </c>
      <c r="C5058" s="5">
        <v>63.3</v>
      </c>
      <c r="D5058" s="6">
        <v>80</v>
      </c>
      <c r="E5058" s="7">
        <f t="shared" si="78"/>
        <v>143.30000000000001</v>
      </c>
      <c r="F5058" s="8"/>
    </row>
    <row r="5059" spans="1:6" ht="18" customHeight="1">
      <c r="A5059" s="4" t="s">
        <v>169</v>
      </c>
      <c r="B5059" s="4" t="str">
        <f>"2020021110"</f>
        <v>2020021110</v>
      </c>
      <c r="C5059" s="5">
        <v>70</v>
      </c>
      <c r="D5059" s="6">
        <v>71.5</v>
      </c>
      <c r="E5059" s="7">
        <f t="shared" ref="E5059:E5122" si="79">SUM(C5059:D5059)</f>
        <v>141.5</v>
      </c>
      <c r="F5059" s="8"/>
    </row>
    <row r="5060" spans="1:6" ht="18" customHeight="1">
      <c r="A5060" s="4" t="s">
        <v>169</v>
      </c>
      <c r="B5060" s="4" t="str">
        <f>"2020023908"</f>
        <v>2020023908</v>
      </c>
      <c r="C5060" s="5">
        <v>65.5</v>
      </c>
      <c r="D5060" s="6">
        <v>73.5</v>
      </c>
      <c r="E5060" s="7">
        <f t="shared" si="79"/>
        <v>139</v>
      </c>
      <c r="F5060" s="8"/>
    </row>
    <row r="5061" spans="1:6" ht="18" customHeight="1">
      <c r="A5061" s="4" t="s">
        <v>169</v>
      </c>
      <c r="B5061" s="4" t="str">
        <f>"2020023607"</f>
        <v>2020023607</v>
      </c>
      <c r="C5061" s="5">
        <v>66.5</v>
      </c>
      <c r="D5061" s="6">
        <v>66</v>
      </c>
      <c r="E5061" s="7">
        <f t="shared" si="79"/>
        <v>132.5</v>
      </c>
      <c r="F5061" s="8"/>
    </row>
    <row r="5062" spans="1:6" ht="18" customHeight="1">
      <c r="A5062" s="4" t="s">
        <v>169</v>
      </c>
      <c r="B5062" s="4" t="str">
        <f>"2020023929"</f>
        <v>2020023929</v>
      </c>
      <c r="C5062" s="5">
        <v>69.900000000000006</v>
      </c>
      <c r="D5062" s="6">
        <v>60</v>
      </c>
      <c r="E5062" s="7">
        <f t="shared" si="79"/>
        <v>129.9</v>
      </c>
      <c r="F5062" s="8"/>
    </row>
    <row r="5063" spans="1:6" ht="18" customHeight="1">
      <c r="A5063" s="4" t="s">
        <v>169</v>
      </c>
      <c r="B5063" s="4" t="str">
        <f>"2020012507"</f>
        <v>2020012507</v>
      </c>
      <c r="C5063" s="5">
        <v>57.3</v>
      </c>
      <c r="D5063" s="6">
        <v>72</v>
      </c>
      <c r="E5063" s="7">
        <f t="shared" si="79"/>
        <v>129.30000000000001</v>
      </c>
      <c r="F5063" s="8"/>
    </row>
    <row r="5064" spans="1:6" ht="18" customHeight="1">
      <c r="A5064" s="4" t="s">
        <v>169</v>
      </c>
      <c r="B5064" s="4" t="str">
        <f>"2020012820"</f>
        <v>2020012820</v>
      </c>
      <c r="C5064" s="5">
        <v>66.7</v>
      </c>
      <c r="D5064" s="6">
        <v>57.5</v>
      </c>
      <c r="E5064" s="7">
        <f t="shared" si="79"/>
        <v>124.2</v>
      </c>
      <c r="F5064" s="8"/>
    </row>
    <row r="5065" spans="1:6" ht="18" customHeight="1">
      <c r="A5065" s="4" t="s">
        <v>169</v>
      </c>
      <c r="B5065" s="4" t="str">
        <f>"2020030121"</f>
        <v>2020030121</v>
      </c>
      <c r="C5065" s="5">
        <v>55</v>
      </c>
      <c r="D5065" s="6">
        <v>69</v>
      </c>
      <c r="E5065" s="7">
        <f t="shared" si="79"/>
        <v>124</v>
      </c>
      <c r="F5065" s="8"/>
    </row>
    <row r="5066" spans="1:6" ht="18" customHeight="1">
      <c r="A5066" s="4" t="s">
        <v>169</v>
      </c>
      <c r="B5066" s="4" t="str">
        <f>"2020044729"</f>
        <v>2020044729</v>
      </c>
      <c r="C5066" s="5">
        <v>56.6</v>
      </c>
      <c r="D5066" s="6">
        <v>66.5</v>
      </c>
      <c r="E5066" s="7">
        <f t="shared" si="79"/>
        <v>123.1</v>
      </c>
      <c r="F5066" s="8"/>
    </row>
    <row r="5067" spans="1:6" ht="18" customHeight="1">
      <c r="A5067" s="4" t="s">
        <v>169</v>
      </c>
      <c r="B5067" s="4" t="str">
        <f>"2020041825"</f>
        <v>2020041825</v>
      </c>
      <c r="C5067" s="5">
        <v>57.7</v>
      </c>
      <c r="D5067" s="6">
        <v>60.5</v>
      </c>
      <c r="E5067" s="7">
        <f t="shared" si="79"/>
        <v>118.2</v>
      </c>
      <c r="F5067" s="8"/>
    </row>
    <row r="5068" spans="1:6" ht="18" customHeight="1">
      <c r="A5068" s="4" t="s">
        <v>169</v>
      </c>
      <c r="B5068" s="4" t="str">
        <f>"2020046622"</f>
        <v>2020046622</v>
      </c>
      <c r="C5068" s="5">
        <v>60.8</v>
      </c>
      <c r="D5068" s="6">
        <v>57</v>
      </c>
      <c r="E5068" s="7">
        <f t="shared" si="79"/>
        <v>117.8</v>
      </c>
      <c r="F5068" s="8"/>
    </row>
    <row r="5069" spans="1:6" ht="18" customHeight="1">
      <c r="A5069" s="4" t="s">
        <v>169</v>
      </c>
      <c r="B5069" s="4" t="str">
        <f>"2020012312"</f>
        <v>2020012312</v>
      </c>
      <c r="C5069" s="5">
        <v>59.5</v>
      </c>
      <c r="D5069" s="6">
        <v>55.5</v>
      </c>
      <c r="E5069" s="7">
        <f t="shared" si="79"/>
        <v>115</v>
      </c>
      <c r="F5069" s="8"/>
    </row>
    <row r="5070" spans="1:6" ht="18" customHeight="1">
      <c r="A5070" s="4" t="s">
        <v>169</v>
      </c>
      <c r="B5070" s="4" t="str">
        <f>"2020041129"</f>
        <v>2020041129</v>
      </c>
      <c r="C5070" s="5">
        <v>51.8</v>
      </c>
      <c r="D5070" s="6">
        <v>56</v>
      </c>
      <c r="E5070" s="7">
        <f t="shared" si="79"/>
        <v>107.8</v>
      </c>
      <c r="F5070" s="8"/>
    </row>
    <row r="5071" spans="1:6" ht="18" customHeight="1">
      <c r="A5071" s="4" t="s">
        <v>169</v>
      </c>
      <c r="B5071" s="4" t="str">
        <f>"2020032527"</f>
        <v>2020032527</v>
      </c>
      <c r="C5071" s="5">
        <v>56</v>
      </c>
      <c r="D5071" s="6">
        <v>50</v>
      </c>
      <c r="E5071" s="7">
        <f t="shared" si="79"/>
        <v>106</v>
      </c>
      <c r="F5071" s="8"/>
    </row>
    <row r="5072" spans="1:6" ht="18" customHeight="1">
      <c r="A5072" s="4" t="s">
        <v>169</v>
      </c>
      <c r="B5072" s="4" t="str">
        <f>"2020020105"</f>
        <v>2020020105</v>
      </c>
      <c r="C5072" s="5">
        <v>0</v>
      </c>
      <c r="D5072" s="6">
        <v>0</v>
      </c>
      <c r="E5072" s="7">
        <f t="shared" si="79"/>
        <v>0</v>
      </c>
      <c r="F5072" s="8" t="s">
        <v>8</v>
      </c>
    </row>
    <row r="5073" spans="1:6" ht="18" customHeight="1">
      <c r="A5073" s="4" t="s">
        <v>169</v>
      </c>
      <c r="B5073" s="4" t="str">
        <f>"2020031503"</f>
        <v>2020031503</v>
      </c>
      <c r="C5073" s="5">
        <v>0</v>
      </c>
      <c r="D5073" s="6">
        <v>0</v>
      </c>
      <c r="E5073" s="7">
        <f t="shared" si="79"/>
        <v>0</v>
      </c>
      <c r="F5073" s="8" t="s">
        <v>8</v>
      </c>
    </row>
    <row r="5074" spans="1:6" ht="18" customHeight="1">
      <c r="A5074" s="4" t="s">
        <v>169</v>
      </c>
      <c r="B5074" s="4" t="str">
        <f>"2020034027"</f>
        <v>2020034027</v>
      </c>
      <c r="C5074" s="5">
        <v>0</v>
      </c>
      <c r="D5074" s="6">
        <v>0</v>
      </c>
      <c r="E5074" s="7">
        <f t="shared" si="79"/>
        <v>0</v>
      </c>
      <c r="F5074" s="8" t="s">
        <v>8</v>
      </c>
    </row>
    <row r="5075" spans="1:6" ht="18" customHeight="1">
      <c r="A5075" s="4" t="s">
        <v>169</v>
      </c>
      <c r="B5075" s="4" t="str">
        <f>"2020043719"</f>
        <v>2020043719</v>
      </c>
      <c r="C5075" s="5">
        <v>0</v>
      </c>
      <c r="D5075" s="6">
        <v>0</v>
      </c>
      <c r="E5075" s="7">
        <f t="shared" si="79"/>
        <v>0</v>
      </c>
      <c r="F5075" s="8" t="s">
        <v>8</v>
      </c>
    </row>
    <row r="5076" spans="1:6" ht="18" customHeight="1">
      <c r="A5076" s="4" t="s">
        <v>170</v>
      </c>
      <c r="B5076" s="4" t="str">
        <f>"2020041917"</f>
        <v>2020041917</v>
      </c>
      <c r="C5076" s="5">
        <v>75.2</v>
      </c>
      <c r="D5076" s="6">
        <v>79.5</v>
      </c>
      <c r="E5076" s="7">
        <f t="shared" si="79"/>
        <v>154.69999999999999</v>
      </c>
      <c r="F5076" s="8"/>
    </row>
    <row r="5077" spans="1:6" ht="18" customHeight="1">
      <c r="A5077" s="4" t="s">
        <v>170</v>
      </c>
      <c r="B5077" s="4" t="str">
        <f>"2020031124"</f>
        <v>2020031124</v>
      </c>
      <c r="C5077" s="5">
        <v>74.099999999999994</v>
      </c>
      <c r="D5077" s="6">
        <v>79</v>
      </c>
      <c r="E5077" s="7">
        <f t="shared" si="79"/>
        <v>153.1</v>
      </c>
      <c r="F5077" s="8"/>
    </row>
    <row r="5078" spans="1:6" ht="18" customHeight="1">
      <c r="A5078" s="4" t="s">
        <v>170</v>
      </c>
      <c r="B5078" s="4" t="str">
        <f>"2020047215"</f>
        <v>2020047215</v>
      </c>
      <c r="C5078" s="5">
        <v>70.3</v>
      </c>
      <c r="D5078" s="6">
        <v>77</v>
      </c>
      <c r="E5078" s="7">
        <f t="shared" si="79"/>
        <v>147.30000000000001</v>
      </c>
      <c r="F5078" s="8"/>
    </row>
    <row r="5079" spans="1:6" ht="18" customHeight="1">
      <c r="A5079" s="4" t="s">
        <v>170</v>
      </c>
      <c r="B5079" s="4" t="str">
        <f>"2020044519"</f>
        <v>2020044519</v>
      </c>
      <c r="C5079" s="5">
        <v>77.599999999999994</v>
      </c>
      <c r="D5079" s="6">
        <v>67.5</v>
      </c>
      <c r="E5079" s="7">
        <f t="shared" si="79"/>
        <v>145.1</v>
      </c>
      <c r="F5079" s="8"/>
    </row>
    <row r="5080" spans="1:6" ht="18" customHeight="1">
      <c r="A5080" s="4" t="s">
        <v>170</v>
      </c>
      <c r="B5080" s="4" t="str">
        <f>"2020012829"</f>
        <v>2020012829</v>
      </c>
      <c r="C5080" s="5">
        <v>66.900000000000006</v>
      </c>
      <c r="D5080" s="6">
        <v>76</v>
      </c>
      <c r="E5080" s="7">
        <f t="shared" si="79"/>
        <v>142.9</v>
      </c>
      <c r="F5080" s="8"/>
    </row>
    <row r="5081" spans="1:6" ht="18" customHeight="1">
      <c r="A5081" s="4" t="s">
        <v>170</v>
      </c>
      <c r="B5081" s="4" t="str">
        <f>"2020043423"</f>
        <v>2020043423</v>
      </c>
      <c r="C5081" s="5">
        <v>78.3</v>
      </c>
      <c r="D5081" s="6">
        <v>64.5</v>
      </c>
      <c r="E5081" s="7">
        <f t="shared" si="79"/>
        <v>142.80000000000001</v>
      </c>
      <c r="F5081" s="8"/>
    </row>
    <row r="5082" spans="1:6" ht="18" customHeight="1">
      <c r="A5082" s="4" t="s">
        <v>170</v>
      </c>
      <c r="B5082" s="4" t="str">
        <f>"2020013603"</f>
        <v>2020013603</v>
      </c>
      <c r="C5082" s="5">
        <v>64.3</v>
      </c>
      <c r="D5082" s="6">
        <v>78</v>
      </c>
      <c r="E5082" s="7">
        <f t="shared" si="79"/>
        <v>142.30000000000001</v>
      </c>
      <c r="F5082" s="8"/>
    </row>
    <row r="5083" spans="1:6" ht="18" customHeight="1">
      <c r="A5083" s="4" t="s">
        <v>170</v>
      </c>
      <c r="B5083" s="4" t="str">
        <f>"2020020322"</f>
        <v>2020020322</v>
      </c>
      <c r="C5083" s="5">
        <v>68.400000000000006</v>
      </c>
      <c r="D5083" s="6">
        <v>73.5</v>
      </c>
      <c r="E5083" s="7">
        <f t="shared" si="79"/>
        <v>141.9</v>
      </c>
      <c r="F5083" s="8"/>
    </row>
    <row r="5084" spans="1:6" ht="18" customHeight="1">
      <c r="A5084" s="4" t="s">
        <v>170</v>
      </c>
      <c r="B5084" s="4" t="str">
        <f>"2020042916"</f>
        <v>2020042916</v>
      </c>
      <c r="C5084" s="5">
        <v>69.900000000000006</v>
      </c>
      <c r="D5084" s="6">
        <v>71</v>
      </c>
      <c r="E5084" s="7">
        <f t="shared" si="79"/>
        <v>140.9</v>
      </c>
      <c r="F5084" s="8"/>
    </row>
    <row r="5085" spans="1:6" ht="18" customHeight="1">
      <c r="A5085" s="4" t="s">
        <v>170</v>
      </c>
      <c r="B5085" s="4" t="str">
        <f>"2020024322"</f>
        <v>2020024322</v>
      </c>
      <c r="C5085" s="5">
        <v>75.099999999999994</v>
      </c>
      <c r="D5085" s="6">
        <v>64.5</v>
      </c>
      <c r="E5085" s="7">
        <f t="shared" si="79"/>
        <v>139.6</v>
      </c>
      <c r="F5085" s="8"/>
    </row>
    <row r="5086" spans="1:6" ht="18" customHeight="1">
      <c r="A5086" s="4" t="s">
        <v>170</v>
      </c>
      <c r="B5086" s="4" t="str">
        <f>"2020043317"</f>
        <v>2020043317</v>
      </c>
      <c r="C5086" s="5">
        <v>68.900000000000006</v>
      </c>
      <c r="D5086" s="6">
        <v>69</v>
      </c>
      <c r="E5086" s="7">
        <f t="shared" si="79"/>
        <v>137.9</v>
      </c>
      <c r="F5086" s="8"/>
    </row>
    <row r="5087" spans="1:6" ht="18" customHeight="1">
      <c r="A5087" s="4" t="s">
        <v>170</v>
      </c>
      <c r="B5087" s="4" t="str">
        <f>"2020043703"</f>
        <v>2020043703</v>
      </c>
      <c r="C5087" s="5">
        <v>67.3</v>
      </c>
      <c r="D5087" s="6">
        <v>70.5</v>
      </c>
      <c r="E5087" s="7">
        <f t="shared" si="79"/>
        <v>137.80000000000001</v>
      </c>
      <c r="F5087" s="8"/>
    </row>
    <row r="5088" spans="1:6" ht="18" customHeight="1">
      <c r="A5088" s="4" t="s">
        <v>170</v>
      </c>
      <c r="B5088" s="4" t="str">
        <f>"2020021603"</f>
        <v>2020021603</v>
      </c>
      <c r="C5088" s="5">
        <v>68.7</v>
      </c>
      <c r="D5088" s="6">
        <v>62</v>
      </c>
      <c r="E5088" s="7">
        <f t="shared" si="79"/>
        <v>130.69999999999999</v>
      </c>
      <c r="F5088" s="8"/>
    </row>
    <row r="5089" spans="1:6" ht="18" customHeight="1">
      <c r="A5089" s="4" t="s">
        <v>170</v>
      </c>
      <c r="B5089" s="4" t="str">
        <f>"2020046718"</f>
        <v>2020046718</v>
      </c>
      <c r="C5089" s="5">
        <v>64.7</v>
      </c>
      <c r="D5089" s="6">
        <v>64.5</v>
      </c>
      <c r="E5089" s="7">
        <f t="shared" si="79"/>
        <v>129.19999999999999</v>
      </c>
      <c r="F5089" s="8"/>
    </row>
    <row r="5090" spans="1:6" ht="18" customHeight="1">
      <c r="A5090" s="4" t="s">
        <v>170</v>
      </c>
      <c r="B5090" s="4" t="str">
        <f>"2020024620"</f>
        <v>2020024620</v>
      </c>
      <c r="C5090" s="5">
        <v>67.5</v>
      </c>
      <c r="D5090" s="6">
        <v>61.5</v>
      </c>
      <c r="E5090" s="7">
        <f t="shared" si="79"/>
        <v>129</v>
      </c>
      <c r="F5090" s="8"/>
    </row>
    <row r="5091" spans="1:6" ht="18" customHeight="1">
      <c r="A5091" s="4" t="s">
        <v>170</v>
      </c>
      <c r="B5091" s="4" t="str">
        <f>"2020032208"</f>
        <v>2020032208</v>
      </c>
      <c r="C5091" s="5">
        <v>66</v>
      </c>
      <c r="D5091" s="6">
        <v>61.5</v>
      </c>
      <c r="E5091" s="7">
        <f t="shared" si="79"/>
        <v>127.5</v>
      </c>
      <c r="F5091" s="8"/>
    </row>
    <row r="5092" spans="1:6" ht="18" customHeight="1">
      <c r="A5092" s="4" t="s">
        <v>170</v>
      </c>
      <c r="B5092" s="4" t="str">
        <f>"2020020318"</f>
        <v>2020020318</v>
      </c>
      <c r="C5092" s="5">
        <v>55.8</v>
      </c>
      <c r="D5092" s="6">
        <v>71</v>
      </c>
      <c r="E5092" s="7">
        <f t="shared" si="79"/>
        <v>126.8</v>
      </c>
      <c r="F5092" s="8"/>
    </row>
    <row r="5093" spans="1:6" ht="18" customHeight="1">
      <c r="A5093" s="4" t="s">
        <v>170</v>
      </c>
      <c r="B5093" s="4" t="str">
        <f>"2020032822"</f>
        <v>2020032822</v>
      </c>
      <c r="C5093" s="5">
        <v>62.8</v>
      </c>
      <c r="D5093" s="6">
        <v>61</v>
      </c>
      <c r="E5093" s="7">
        <f t="shared" si="79"/>
        <v>123.8</v>
      </c>
      <c r="F5093" s="8"/>
    </row>
    <row r="5094" spans="1:6" ht="18" customHeight="1">
      <c r="A5094" s="4" t="s">
        <v>170</v>
      </c>
      <c r="B5094" s="4" t="str">
        <f>"2020032128"</f>
        <v>2020032128</v>
      </c>
      <c r="C5094" s="5">
        <v>61.5</v>
      </c>
      <c r="D5094" s="6">
        <v>62</v>
      </c>
      <c r="E5094" s="7">
        <f t="shared" si="79"/>
        <v>123.5</v>
      </c>
      <c r="F5094" s="8"/>
    </row>
    <row r="5095" spans="1:6" ht="18" customHeight="1">
      <c r="A5095" s="4" t="s">
        <v>170</v>
      </c>
      <c r="B5095" s="4" t="str">
        <f>"2020021725"</f>
        <v>2020021725</v>
      </c>
      <c r="C5095" s="5">
        <v>64.8</v>
      </c>
      <c r="D5095" s="6">
        <v>58</v>
      </c>
      <c r="E5095" s="7">
        <f t="shared" si="79"/>
        <v>122.8</v>
      </c>
      <c r="F5095" s="8"/>
    </row>
    <row r="5096" spans="1:6" ht="18" customHeight="1">
      <c r="A5096" s="4" t="s">
        <v>170</v>
      </c>
      <c r="B5096" s="4" t="str">
        <f>"2020020915"</f>
        <v>2020020915</v>
      </c>
      <c r="C5096" s="5">
        <v>67.3</v>
      </c>
      <c r="D5096" s="6">
        <v>54</v>
      </c>
      <c r="E5096" s="7">
        <f t="shared" si="79"/>
        <v>121.3</v>
      </c>
      <c r="F5096" s="8"/>
    </row>
    <row r="5097" spans="1:6" ht="18" customHeight="1">
      <c r="A5097" s="4" t="s">
        <v>170</v>
      </c>
      <c r="B5097" s="4" t="str">
        <f>"2020043804"</f>
        <v>2020043804</v>
      </c>
      <c r="C5097" s="5">
        <v>62.3</v>
      </c>
      <c r="D5097" s="6">
        <v>57</v>
      </c>
      <c r="E5097" s="7">
        <f t="shared" si="79"/>
        <v>119.3</v>
      </c>
      <c r="F5097" s="8"/>
    </row>
    <row r="5098" spans="1:6" ht="18" customHeight="1">
      <c r="A5098" s="4" t="s">
        <v>170</v>
      </c>
      <c r="B5098" s="4" t="str">
        <f>"2020044907"</f>
        <v>2020044907</v>
      </c>
      <c r="C5098" s="5">
        <v>62.1</v>
      </c>
      <c r="D5098" s="6">
        <v>57</v>
      </c>
      <c r="E5098" s="7">
        <f t="shared" si="79"/>
        <v>119.1</v>
      </c>
      <c r="F5098" s="8"/>
    </row>
    <row r="5099" spans="1:6" ht="18" customHeight="1">
      <c r="A5099" s="4" t="s">
        <v>170</v>
      </c>
      <c r="B5099" s="4" t="str">
        <f>"2020043903"</f>
        <v>2020043903</v>
      </c>
      <c r="C5099" s="5">
        <v>58.1</v>
      </c>
      <c r="D5099" s="6">
        <v>60.5</v>
      </c>
      <c r="E5099" s="7">
        <f t="shared" si="79"/>
        <v>118.6</v>
      </c>
      <c r="F5099" s="8"/>
    </row>
    <row r="5100" spans="1:6" ht="18" customHeight="1">
      <c r="A5100" s="4" t="s">
        <v>170</v>
      </c>
      <c r="B5100" s="4" t="str">
        <f>"2020010827"</f>
        <v>2020010827</v>
      </c>
      <c r="C5100" s="5">
        <v>58.5</v>
      </c>
      <c r="D5100" s="6">
        <v>59.5</v>
      </c>
      <c r="E5100" s="7">
        <f t="shared" si="79"/>
        <v>118</v>
      </c>
      <c r="F5100" s="8"/>
    </row>
    <row r="5101" spans="1:6" ht="18" customHeight="1">
      <c r="A5101" s="4" t="s">
        <v>170</v>
      </c>
      <c r="B5101" s="4" t="str">
        <f>"2020031728"</f>
        <v>2020031728</v>
      </c>
      <c r="C5101" s="5">
        <v>57</v>
      </c>
      <c r="D5101" s="6">
        <v>60</v>
      </c>
      <c r="E5101" s="7">
        <f t="shared" si="79"/>
        <v>117</v>
      </c>
      <c r="F5101" s="8"/>
    </row>
    <row r="5102" spans="1:6" ht="18" customHeight="1">
      <c r="A5102" s="4" t="s">
        <v>170</v>
      </c>
      <c r="B5102" s="4" t="str">
        <f>"2020042718"</f>
        <v>2020042718</v>
      </c>
      <c r="C5102" s="5">
        <v>61.8</v>
      </c>
      <c r="D5102" s="6">
        <v>53.5</v>
      </c>
      <c r="E5102" s="7">
        <f t="shared" si="79"/>
        <v>115.3</v>
      </c>
      <c r="F5102" s="8"/>
    </row>
    <row r="5103" spans="1:6" ht="18" customHeight="1">
      <c r="A5103" s="4" t="s">
        <v>170</v>
      </c>
      <c r="B5103" s="4" t="str">
        <f>"2020033103"</f>
        <v>2020033103</v>
      </c>
      <c r="C5103" s="5">
        <v>52.5</v>
      </c>
      <c r="D5103" s="6">
        <v>51</v>
      </c>
      <c r="E5103" s="7">
        <f t="shared" si="79"/>
        <v>103.5</v>
      </c>
      <c r="F5103" s="8"/>
    </row>
    <row r="5104" spans="1:6" ht="18" customHeight="1">
      <c r="A5104" s="4" t="s">
        <v>170</v>
      </c>
      <c r="B5104" s="4" t="str">
        <f>"2020010611"</f>
        <v>2020010611</v>
      </c>
      <c r="C5104" s="5">
        <v>0</v>
      </c>
      <c r="D5104" s="6">
        <v>0</v>
      </c>
      <c r="E5104" s="7">
        <f t="shared" si="79"/>
        <v>0</v>
      </c>
      <c r="F5104" s="9" t="s">
        <v>8</v>
      </c>
    </row>
    <row r="5105" spans="1:6" ht="18" customHeight="1">
      <c r="A5105" s="4" t="s">
        <v>170</v>
      </c>
      <c r="B5105" s="4" t="str">
        <f>"2020012223"</f>
        <v>2020012223</v>
      </c>
      <c r="C5105" s="5">
        <v>0</v>
      </c>
      <c r="D5105" s="6">
        <v>0</v>
      </c>
      <c r="E5105" s="7">
        <f t="shared" si="79"/>
        <v>0</v>
      </c>
      <c r="F5105" s="9" t="s">
        <v>8</v>
      </c>
    </row>
    <row r="5106" spans="1:6" ht="18" customHeight="1">
      <c r="A5106" s="4" t="s">
        <v>170</v>
      </c>
      <c r="B5106" s="4" t="str">
        <f>"2020012609"</f>
        <v>2020012609</v>
      </c>
      <c r="C5106" s="5">
        <v>0</v>
      </c>
      <c r="D5106" s="6">
        <v>0</v>
      </c>
      <c r="E5106" s="7">
        <f t="shared" si="79"/>
        <v>0</v>
      </c>
      <c r="F5106" s="9" t="s">
        <v>8</v>
      </c>
    </row>
    <row r="5107" spans="1:6" ht="18" customHeight="1">
      <c r="A5107" s="4" t="s">
        <v>170</v>
      </c>
      <c r="B5107" s="4" t="str">
        <f>"2020013128"</f>
        <v>2020013128</v>
      </c>
      <c r="C5107" s="5">
        <v>0</v>
      </c>
      <c r="D5107" s="6">
        <v>0</v>
      </c>
      <c r="E5107" s="7">
        <f t="shared" si="79"/>
        <v>0</v>
      </c>
      <c r="F5107" s="9" t="s">
        <v>8</v>
      </c>
    </row>
    <row r="5108" spans="1:6" ht="18" customHeight="1">
      <c r="A5108" s="4" t="s">
        <v>170</v>
      </c>
      <c r="B5108" s="4" t="str">
        <f>"2020020624"</f>
        <v>2020020624</v>
      </c>
      <c r="C5108" s="5">
        <v>0</v>
      </c>
      <c r="D5108" s="6">
        <v>0</v>
      </c>
      <c r="E5108" s="7">
        <f t="shared" si="79"/>
        <v>0</v>
      </c>
      <c r="F5108" s="8" t="s">
        <v>8</v>
      </c>
    </row>
    <row r="5109" spans="1:6" ht="18" customHeight="1">
      <c r="A5109" s="4" t="s">
        <v>170</v>
      </c>
      <c r="B5109" s="4" t="str">
        <f>"2020022716"</f>
        <v>2020022716</v>
      </c>
      <c r="C5109" s="5">
        <v>0</v>
      </c>
      <c r="D5109" s="6">
        <v>0</v>
      </c>
      <c r="E5109" s="7">
        <f t="shared" si="79"/>
        <v>0</v>
      </c>
      <c r="F5109" s="8" t="s">
        <v>8</v>
      </c>
    </row>
    <row r="5110" spans="1:6" ht="18" customHeight="1">
      <c r="A5110" s="4" t="s">
        <v>170</v>
      </c>
      <c r="B5110" s="4" t="str">
        <f>"2020023611"</f>
        <v>2020023611</v>
      </c>
      <c r="C5110" s="5">
        <v>0</v>
      </c>
      <c r="D5110" s="6">
        <v>0</v>
      </c>
      <c r="E5110" s="7">
        <f t="shared" si="79"/>
        <v>0</v>
      </c>
      <c r="F5110" s="8" t="s">
        <v>8</v>
      </c>
    </row>
    <row r="5111" spans="1:6" ht="18" customHeight="1">
      <c r="A5111" s="4" t="s">
        <v>170</v>
      </c>
      <c r="B5111" s="4" t="str">
        <f>"2020023619"</f>
        <v>2020023619</v>
      </c>
      <c r="C5111" s="5">
        <v>0</v>
      </c>
      <c r="D5111" s="6">
        <v>0</v>
      </c>
      <c r="E5111" s="7">
        <f t="shared" si="79"/>
        <v>0</v>
      </c>
      <c r="F5111" s="8" t="s">
        <v>8</v>
      </c>
    </row>
    <row r="5112" spans="1:6" ht="18" customHeight="1">
      <c r="A5112" s="4" t="s">
        <v>170</v>
      </c>
      <c r="B5112" s="4" t="str">
        <f>"2020024617"</f>
        <v>2020024617</v>
      </c>
      <c r="C5112" s="5">
        <v>0</v>
      </c>
      <c r="D5112" s="6">
        <v>0</v>
      </c>
      <c r="E5112" s="7">
        <f t="shared" si="79"/>
        <v>0</v>
      </c>
      <c r="F5112" s="8" t="s">
        <v>8</v>
      </c>
    </row>
    <row r="5113" spans="1:6" ht="18" customHeight="1">
      <c r="A5113" s="4" t="s">
        <v>170</v>
      </c>
      <c r="B5113" s="4" t="str">
        <f>"2020033210"</f>
        <v>2020033210</v>
      </c>
      <c r="C5113" s="5">
        <v>0</v>
      </c>
      <c r="D5113" s="6">
        <v>0</v>
      </c>
      <c r="E5113" s="7">
        <f t="shared" si="79"/>
        <v>0</v>
      </c>
      <c r="F5113" s="8" t="s">
        <v>8</v>
      </c>
    </row>
    <row r="5114" spans="1:6" ht="18" customHeight="1">
      <c r="A5114" s="4" t="s">
        <v>170</v>
      </c>
      <c r="B5114" s="4" t="str">
        <f>"2020041221"</f>
        <v>2020041221</v>
      </c>
      <c r="C5114" s="5">
        <v>0</v>
      </c>
      <c r="D5114" s="6">
        <v>0</v>
      </c>
      <c r="E5114" s="7">
        <f t="shared" si="79"/>
        <v>0</v>
      </c>
      <c r="F5114" s="8" t="s">
        <v>8</v>
      </c>
    </row>
    <row r="5115" spans="1:6" ht="18" customHeight="1">
      <c r="A5115" s="4" t="s">
        <v>170</v>
      </c>
      <c r="B5115" s="4" t="str">
        <f>"2020045815"</f>
        <v>2020045815</v>
      </c>
      <c r="C5115" s="5">
        <v>0</v>
      </c>
      <c r="D5115" s="6">
        <v>0</v>
      </c>
      <c r="E5115" s="7">
        <f t="shared" si="79"/>
        <v>0</v>
      </c>
      <c r="F5115" s="8" t="s">
        <v>8</v>
      </c>
    </row>
    <row r="5116" spans="1:6" ht="18" customHeight="1">
      <c r="A5116" s="4" t="s">
        <v>170</v>
      </c>
      <c r="B5116" s="4" t="str">
        <f>"2020046021"</f>
        <v>2020046021</v>
      </c>
      <c r="C5116" s="5">
        <v>0</v>
      </c>
      <c r="D5116" s="6">
        <v>0</v>
      </c>
      <c r="E5116" s="7">
        <f t="shared" si="79"/>
        <v>0</v>
      </c>
      <c r="F5116" s="8" t="s">
        <v>8</v>
      </c>
    </row>
    <row r="5117" spans="1:6" ht="18" customHeight="1">
      <c r="A5117" s="4" t="s">
        <v>171</v>
      </c>
      <c r="B5117" s="4" t="str">
        <f>"2020031802"</f>
        <v>2020031802</v>
      </c>
      <c r="C5117" s="5">
        <v>63.9</v>
      </c>
      <c r="D5117" s="6">
        <v>74.5</v>
      </c>
      <c r="E5117" s="7">
        <f t="shared" si="79"/>
        <v>138.4</v>
      </c>
      <c r="F5117" s="8"/>
    </row>
    <row r="5118" spans="1:6" ht="18" customHeight="1">
      <c r="A5118" s="4" t="s">
        <v>171</v>
      </c>
      <c r="B5118" s="4" t="str">
        <f>"2020032321"</f>
        <v>2020032321</v>
      </c>
      <c r="C5118" s="5">
        <v>63.2</v>
      </c>
      <c r="D5118" s="6">
        <v>59.5</v>
      </c>
      <c r="E5118" s="7">
        <f t="shared" si="79"/>
        <v>122.7</v>
      </c>
      <c r="F5118" s="8"/>
    </row>
    <row r="5119" spans="1:6" ht="18" customHeight="1">
      <c r="A5119" s="4" t="s">
        <v>171</v>
      </c>
      <c r="B5119" s="4" t="str">
        <f>"2020022220"</f>
        <v>2020022220</v>
      </c>
      <c r="C5119" s="5">
        <v>60.8</v>
      </c>
      <c r="D5119" s="6">
        <v>54</v>
      </c>
      <c r="E5119" s="7">
        <f t="shared" si="79"/>
        <v>114.8</v>
      </c>
      <c r="F5119" s="8"/>
    </row>
    <row r="5120" spans="1:6" ht="18" customHeight="1">
      <c r="A5120" s="4" t="s">
        <v>171</v>
      </c>
      <c r="B5120" s="4" t="str">
        <f>"2020043202"</f>
        <v>2020043202</v>
      </c>
      <c r="C5120" s="5">
        <v>0</v>
      </c>
      <c r="D5120" s="6">
        <v>0</v>
      </c>
      <c r="E5120" s="7">
        <f t="shared" si="79"/>
        <v>0</v>
      </c>
      <c r="F5120" s="8" t="s">
        <v>8</v>
      </c>
    </row>
    <row r="5121" spans="1:6" ht="18" customHeight="1">
      <c r="A5121" s="4" t="s">
        <v>172</v>
      </c>
      <c r="B5121" s="4" t="str">
        <f>"2020021016"</f>
        <v>2020021016</v>
      </c>
      <c r="C5121" s="5">
        <v>71.099999999999994</v>
      </c>
      <c r="D5121" s="6">
        <v>85.5</v>
      </c>
      <c r="E5121" s="7">
        <f t="shared" si="79"/>
        <v>156.6</v>
      </c>
      <c r="F5121" s="8"/>
    </row>
    <row r="5122" spans="1:6" ht="18" customHeight="1">
      <c r="A5122" s="4" t="s">
        <v>172</v>
      </c>
      <c r="B5122" s="4" t="str">
        <f>"2020021229"</f>
        <v>2020021229</v>
      </c>
      <c r="C5122" s="5">
        <v>72.7</v>
      </c>
      <c r="D5122" s="6">
        <v>78</v>
      </c>
      <c r="E5122" s="7">
        <f t="shared" si="79"/>
        <v>150.69999999999999</v>
      </c>
      <c r="F5122" s="8"/>
    </row>
    <row r="5123" spans="1:6" ht="18" customHeight="1">
      <c r="A5123" s="4" t="s">
        <v>172</v>
      </c>
      <c r="B5123" s="4" t="str">
        <f>"2020021012"</f>
        <v>2020021012</v>
      </c>
      <c r="C5123" s="5">
        <v>0</v>
      </c>
      <c r="D5123" s="6">
        <v>0</v>
      </c>
      <c r="E5123" s="7">
        <f t="shared" ref="E5123:E5186" si="80">SUM(C5123:D5123)</f>
        <v>0</v>
      </c>
      <c r="F5123" s="8" t="s">
        <v>8</v>
      </c>
    </row>
    <row r="5124" spans="1:6" ht="18" customHeight="1">
      <c r="A5124" s="4" t="s">
        <v>172</v>
      </c>
      <c r="B5124" s="4" t="str">
        <f>"2020044003"</f>
        <v>2020044003</v>
      </c>
      <c r="C5124" s="5">
        <v>0</v>
      </c>
      <c r="D5124" s="6">
        <v>0</v>
      </c>
      <c r="E5124" s="7">
        <f t="shared" si="80"/>
        <v>0</v>
      </c>
      <c r="F5124" s="8" t="s">
        <v>8</v>
      </c>
    </row>
    <row r="5125" spans="1:6" ht="18" customHeight="1">
      <c r="A5125" s="4" t="s">
        <v>172</v>
      </c>
      <c r="B5125" s="4" t="str">
        <f>"2020047314"</f>
        <v>2020047314</v>
      </c>
      <c r="C5125" s="5">
        <v>0</v>
      </c>
      <c r="D5125" s="6">
        <v>0</v>
      </c>
      <c r="E5125" s="7">
        <f t="shared" si="80"/>
        <v>0</v>
      </c>
      <c r="F5125" s="8" t="s">
        <v>8</v>
      </c>
    </row>
    <row r="5126" spans="1:6" ht="18" customHeight="1">
      <c r="A5126" s="4" t="s">
        <v>173</v>
      </c>
      <c r="B5126" s="4" t="str">
        <f>"2020024603"</f>
        <v>2020024603</v>
      </c>
      <c r="C5126" s="5">
        <v>69.8</v>
      </c>
      <c r="D5126" s="6">
        <v>74</v>
      </c>
      <c r="E5126" s="7">
        <f t="shared" si="80"/>
        <v>143.80000000000001</v>
      </c>
      <c r="F5126" s="8"/>
    </row>
    <row r="5127" spans="1:6" ht="18" customHeight="1">
      <c r="A5127" s="4" t="s">
        <v>173</v>
      </c>
      <c r="B5127" s="4" t="str">
        <f>"2020031719"</f>
        <v>2020031719</v>
      </c>
      <c r="C5127" s="5">
        <v>67.2</v>
      </c>
      <c r="D5127" s="6">
        <v>60</v>
      </c>
      <c r="E5127" s="7">
        <f t="shared" si="80"/>
        <v>127.2</v>
      </c>
      <c r="F5127" s="8"/>
    </row>
    <row r="5128" spans="1:6" ht="18" customHeight="1">
      <c r="A5128" s="4" t="s">
        <v>173</v>
      </c>
      <c r="B5128" s="4" t="str">
        <f>"2020044124"</f>
        <v>2020044124</v>
      </c>
      <c r="C5128" s="5">
        <v>0</v>
      </c>
      <c r="D5128" s="6">
        <v>0</v>
      </c>
      <c r="E5128" s="7">
        <f t="shared" si="80"/>
        <v>0</v>
      </c>
      <c r="F5128" s="8" t="s">
        <v>8</v>
      </c>
    </row>
    <row r="5129" spans="1:6" ht="18" customHeight="1">
      <c r="A5129" s="4" t="s">
        <v>174</v>
      </c>
      <c r="B5129" s="4" t="str">
        <f>"2020041211"</f>
        <v>2020041211</v>
      </c>
      <c r="C5129" s="5">
        <v>79.5</v>
      </c>
      <c r="D5129" s="6">
        <v>84.5</v>
      </c>
      <c r="E5129" s="7">
        <f t="shared" si="80"/>
        <v>164</v>
      </c>
      <c r="F5129" s="8"/>
    </row>
    <row r="5130" spans="1:6" ht="18" customHeight="1">
      <c r="A5130" s="4" t="s">
        <v>174</v>
      </c>
      <c r="B5130" s="4" t="str">
        <f>"2020010427"</f>
        <v>2020010427</v>
      </c>
      <c r="C5130" s="5">
        <v>74.900000000000006</v>
      </c>
      <c r="D5130" s="6">
        <v>87</v>
      </c>
      <c r="E5130" s="7">
        <f t="shared" si="80"/>
        <v>161.9</v>
      </c>
      <c r="F5130" s="8"/>
    </row>
    <row r="5131" spans="1:6" ht="18" customHeight="1">
      <c r="A5131" s="4" t="s">
        <v>174</v>
      </c>
      <c r="B5131" s="4" t="str">
        <f>"2020042918"</f>
        <v>2020042918</v>
      </c>
      <c r="C5131" s="5">
        <v>80.7</v>
      </c>
      <c r="D5131" s="6">
        <v>80.5</v>
      </c>
      <c r="E5131" s="7">
        <f t="shared" si="80"/>
        <v>161.19999999999999</v>
      </c>
      <c r="F5131" s="8"/>
    </row>
    <row r="5132" spans="1:6" ht="18" customHeight="1">
      <c r="A5132" s="4" t="s">
        <v>174</v>
      </c>
      <c r="B5132" s="4" t="str">
        <f>"2020040728"</f>
        <v>2020040728</v>
      </c>
      <c r="C5132" s="5">
        <v>77.400000000000006</v>
      </c>
      <c r="D5132" s="6">
        <v>80.5</v>
      </c>
      <c r="E5132" s="7">
        <f t="shared" si="80"/>
        <v>157.9</v>
      </c>
      <c r="F5132" s="8"/>
    </row>
    <row r="5133" spans="1:6" ht="18" customHeight="1">
      <c r="A5133" s="4" t="s">
        <v>174</v>
      </c>
      <c r="B5133" s="4" t="str">
        <f>"2020010123"</f>
        <v>2020010123</v>
      </c>
      <c r="C5133" s="5">
        <v>73.3</v>
      </c>
      <c r="D5133" s="6">
        <v>80.5</v>
      </c>
      <c r="E5133" s="7">
        <f t="shared" si="80"/>
        <v>153.80000000000001</v>
      </c>
      <c r="F5133" s="8"/>
    </row>
    <row r="5134" spans="1:6" ht="18" customHeight="1">
      <c r="A5134" s="4" t="s">
        <v>174</v>
      </c>
      <c r="B5134" s="4" t="str">
        <f>"2020011412"</f>
        <v>2020011412</v>
      </c>
      <c r="C5134" s="5">
        <v>77.2</v>
      </c>
      <c r="D5134" s="6">
        <v>74</v>
      </c>
      <c r="E5134" s="7">
        <f t="shared" si="80"/>
        <v>151.19999999999999</v>
      </c>
      <c r="F5134" s="8"/>
    </row>
    <row r="5135" spans="1:6" ht="18" customHeight="1">
      <c r="A5135" s="4" t="s">
        <v>174</v>
      </c>
      <c r="B5135" s="4" t="str">
        <f>"2020046406"</f>
        <v>2020046406</v>
      </c>
      <c r="C5135" s="5">
        <v>72.7</v>
      </c>
      <c r="D5135" s="6">
        <v>78</v>
      </c>
      <c r="E5135" s="7">
        <f t="shared" si="80"/>
        <v>150.69999999999999</v>
      </c>
      <c r="F5135" s="8"/>
    </row>
    <row r="5136" spans="1:6" ht="18" customHeight="1">
      <c r="A5136" s="4" t="s">
        <v>174</v>
      </c>
      <c r="B5136" s="4" t="str">
        <f>"2020043712"</f>
        <v>2020043712</v>
      </c>
      <c r="C5136" s="5">
        <v>65.3</v>
      </c>
      <c r="D5136" s="6">
        <v>84</v>
      </c>
      <c r="E5136" s="7">
        <f t="shared" si="80"/>
        <v>149.30000000000001</v>
      </c>
      <c r="F5136" s="8"/>
    </row>
    <row r="5137" spans="1:6" ht="18" customHeight="1">
      <c r="A5137" s="4" t="s">
        <v>174</v>
      </c>
      <c r="B5137" s="4" t="str">
        <f>"2020040724"</f>
        <v>2020040724</v>
      </c>
      <c r="C5137" s="5">
        <v>72.5</v>
      </c>
      <c r="D5137" s="6">
        <v>76.5</v>
      </c>
      <c r="E5137" s="7">
        <f t="shared" si="80"/>
        <v>149</v>
      </c>
      <c r="F5137" s="8"/>
    </row>
    <row r="5138" spans="1:6" ht="18" customHeight="1">
      <c r="A5138" s="4" t="s">
        <v>174</v>
      </c>
      <c r="B5138" s="4" t="str">
        <f>"2020011418"</f>
        <v>2020011418</v>
      </c>
      <c r="C5138" s="5">
        <v>76.900000000000006</v>
      </c>
      <c r="D5138" s="6">
        <v>71.5</v>
      </c>
      <c r="E5138" s="7">
        <f t="shared" si="80"/>
        <v>148.4</v>
      </c>
      <c r="F5138" s="8"/>
    </row>
    <row r="5139" spans="1:6" ht="18" customHeight="1">
      <c r="A5139" s="4" t="s">
        <v>174</v>
      </c>
      <c r="B5139" s="4" t="str">
        <f>"2020044522"</f>
        <v>2020044522</v>
      </c>
      <c r="C5139" s="5">
        <v>65.400000000000006</v>
      </c>
      <c r="D5139" s="6">
        <v>83</v>
      </c>
      <c r="E5139" s="7">
        <f t="shared" si="80"/>
        <v>148.4</v>
      </c>
      <c r="F5139" s="8"/>
    </row>
    <row r="5140" spans="1:6" ht="18" customHeight="1">
      <c r="A5140" s="4" t="s">
        <v>174</v>
      </c>
      <c r="B5140" s="4" t="str">
        <f>"2020012008"</f>
        <v>2020012008</v>
      </c>
      <c r="C5140" s="5">
        <v>71.8</v>
      </c>
      <c r="D5140" s="6">
        <v>76.5</v>
      </c>
      <c r="E5140" s="7">
        <f t="shared" si="80"/>
        <v>148.30000000000001</v>
      </c>
      <c r="F5140" s="8"/>
    </row>
    <row r="5141" spans="1:6" ht="18" customHeight="1">
      <c r="A5141" s="4" t="s">
        <v>174</v>
      </c>
      <c r="B5141" s="4" t="str">
        <f>"2020021927"</f>
        <v>2020021927</v>
      </c>
      <c r="C5141" s="5">
        <v>76.3</v>
      </c>
      <c r="D5141" s="6">
        <v>71.5</v>
      </c>
      <c r="E5141" s="7">
        <f t="shared" si="80"/>
        <v>147.80000000000001</v>
      </c>
      <c r="F5141" s="8"/>
    </row>
    <row r="5142" spans="1:6" ht="18" customHeight="1">
      <c r="A5142" s="4" t="s">
        <v>174</v>
      </c>
      <c r="B5142" s="4" t="str">
        <f>"2020011028"</f>
        <v>2020011028</v>
      </c>
      <c r="C5142" s="5">
        <v>69.7</v>
      </c>
      <c r="D5142" s="6">
        <v>78</v>
      </c>
      <c r="E5142" s="7">
        <f t="shared" si="80"/>
        <v>147.69999999999999</v>
      </c>
      <c r="F5142" s="8"/>
    </row>
    <row r="5143" spans="1:6" ht="18" customHeight="1">
      <c r="A5143" s="4" t="s">
        <v>174</v>
      </c>
      <c r="B5143" s="4" t="str">
        <f>"2020044704"</f>
        <v>2020044704</v>
      </c>
      <c r="C5143" s="5">
        <v>70</v>
      </c>
      <c r="D5143" s="6">
        <v>77.5</v>
      </c>
      <c r="E5143" s="7">
        <f t="shared" si="80"/>
        <v>147.5</v>
      </c>
      <c r="F5143" s="8"/>
    </row>
    <row r="5144" spans="1:6" ht="18" customHeight="1">
      <c r="A5144" s="4" t="s">
        <v>174</v>
      </c>
      <c r="B5144" s="4" t="str">
        <f>"2020024312"</f>
        <v>2020024312</v>
      </c>
      <c r="C5144" s="5">
        <v>68.900000000000006</v>
      </c>
      <c r="D5144" s="6">
        <v>78</v>
      </c>
      <c r="E5144" s="7">
        <f t="shared" si="80"/>
        <v>146.9</v>
      </c>
      <c r="F5144" s="8"/>
    </row>
    <row r="5145" spans="1:6" ht="18" customHeight="1">
      <c r="A5145" s="4" t="s">
        <v>174</v>
      </c>
      <c r="B5145" s="4" t="str">
        <f>"2020041220"</f>
        <v>2020041220</v>
      </c>
      <c r="C5145" s="5">
        <v>78.599999999999994</v>
      </c>
      <c r="D5145" s="6">
        <v>66.5</v>
      </c>
      <c r="E5145" s="7">
        <f t="shared" si="80"/>
        <v>145.1</v>
      </c>
      <c r="F5145" s="8"/>
    </row>
    <row r="5146" spans="1:6" ht="18" customHeight="1">
      <c r="A5146" s="4" t="s">
        <v>174</v>
      </c>
      <c r="B5146" s="4" t="str">
        <f>"2020040205"</f>
        <v>2020040205</v>
      </c>
      <c r="C5146" s="5">
        <v>72</v>
      </c>
      <c r="D5146" s="6">
        <v>73</v>
      </c>
      <c r="E5146" s="7">
        <f t="shared" si="80"/>
        <v>145</v>
      </c>
      <c r="F5146" s="8"/>
    </row>
    <row r="5147" spans="1:6" ht="18" customHeight="1">
      <c r="A5147" s="4" t="s">
        <v>174</v>
      </c>
      <c r="B5147" s="4" t="str">
        <f>"2020040123"</f>
        <v>2020040123</v>
      </c>
      <c r="C5147" s="5">
        <v>67.8</v>
      </c>
      <c r="D5147" s="6">
        <v>77</v>
      </c>
      <c r="E5147" s="7">
        <f t="shared" si="80"/>
        <v>144.80000000000001</v>
      </c>
      <c r="F5147" s="8"/>
    </row>
    <row r="5148" spans="1:6" ht="18" customHeight="1">
      <c r="A5148" s="4" t="s">
        <v>174</v>
      </c>
      <c r="B5148" s="4" t="str">
        <f>"2020010916"</f>
        <v>2020010916</v>
      </c>
      <c r="C5148" s="5">
        <v>72.3</v>
      </c>
      <c r="D5148" s="6">
        <v>72</v>
      </c>
      <c r="E5148" s="7">
        <f t="shared" si="80"/>
        <v>144.30000000000001</v>
      </c>
      <c r="F5148" s="8"/>
    </row>
    <row r="5149" spans="1:6" ht="18" customHeight="1">
      <c r="A5149" s="4" t="s">
        <v>174</v>
      </c>
      <c r="B5149" s="4" t="str">
        <f>"2020031826"</f>
        <v>2020031826</v>
      </c>
      <c r="C5149" s="5">
        <v>69.5</v>
      </c>
      <c r="D5149" s="6">
        <v>74.5</v>
      </c>
      <c r="E5149" s="7">
        <f t="shared" si="80"/>
        <v>144</v>
      </c>
      <c r="F5149" s="8"/>
    </row>
    <row r="5150" spans="1:6" ht="18" customHeight="1">
      <c r="A5150" s="4" t="s">
        <v>174</v>
      </c>
      <c r="B5150" s="4" t="str">
        <f>"2020012110"</f>
        <v>2020012110</v>
      </c>
      <c r="C5150" s="5">
        <v>74.3</v>
      </c>
      <c r="D5150" s="6">
        <v>69.5</v>
      </c>
      <c r="E5150" s="7">
        <f t="shared" si="80"/>
        <v>143.80000000000001</v>
      </c>
      <c r="F5150" s="8"/>
    </row>
    <row r="5151" spans="1:6" ht="18" customHeight="1">
      <c r="A5151" s="4" t="s">
        <v>174</v>
      </c>
      <c r="B5151" s="4" t="str">
        <f>"2020040329"</f>
        <v>2020040329</v>
      </c>
      <c r="C5151" s="5">
        <v>73.2</v>
      </c>
      <c r="D5151" s="6">
        <v>70.5</v>
      </c>
      <c r="E5151" s="7">
        <f t="shared" si="80"/>
        <v>143.69999999999999</v>
      </c>
      <c r="F5151" s="8"/>
    </row>
    <row r="5152" spans="1:6" ht="18" customHeight="1">
      <c r="A5152" s="4" t="s">
        <v>174</v>
      </c>
      <c r="B5152" s="4" t="str">
        <f>"2020041811"</f>
        <v>2020041811</v>
      </c>
      <c r="C5152" s="5">
        <v>73.599999999999994</v>
      </c>
      <c r="D5152" s="6">
        <v>70</v>
      </c>
      <c r="E5152" s="7">
        <f t="shared" si="80"/>
        <v>143.6</v>
      </c>
      <c r="F5152" s="8"/>
    </row>
    <row r="5153" spans="1:6" ht="18" customHeight="1">
      <c r="A5153" s="4" t="s">
        <v>174</v>
      </c>
      <c r="B5153" s="4" t="str">
        <f>"2020022605"</f>
        <v>2020022605</v>
      </c>
      <c r="C5153" s="5">
        <v>71.400000000000006</v>
      </c>
      <c r="D5153" s="6">
        <v>72</v>
      </c>
      <c r="E5153" s="7">
        <f t="shared" si="80"/>
        <v>143.4</v>
      </c>
      <c r="F5153" s="8"/>
    </row>
    <row r="5154" spans="1:6" ht="18" customHeight="1">
      <c r="A5154" s="4" t="s">
        <v>174</v>
      </c>
      <c r="B5154" s="4" t="str">
        <f>"2020012322"</f>
        <v>2020012322</v>
      </c>
      <c r="C5154" s="5">
        <v>69.7</v>
      </c>
      <c r="D5154" s="6">
        <v>73.5</v>
      </c>
      <c r="E5154" s="7">
        <f t="shared" si="80"/>
        <v>143.19999999999999</v>
      </c>
      <c r="F5154" s="8"/>
    </row>
    <row r="5155" spans="1:6" ht="18" customHeight="1">
      <c r="A5155" s="4" t="s">
        <v>174</v>
      </c>
      <c r="B5155" s="4" t="str">
        <f>"2020032116"</f>
        <v>2020032116</v>
      </c>
      <c r="C5155" s="5">
        <v>64.099999999999994</v>
      </c>
      <c r="D5155" s="6">
        <v>78.5</v>
      </c>
      <c r="E5155" s="7">
        <f t="shared" si="80"/>
        <v>142.6</v>
      </c>
      <c r="F5155" s="8"/>
    </row>
    <row r="5156" spans="1:6" ht="18" customHeight="1">
      <c r="A5156" s="4" t="s">
        <v>174</v>
      </c>
      <c r="B5156" s="4" t="str">
        <f>"2020041218"</f>
        <v>2020041218</v>
      </c>
      <c r="C5156" s="5">
        <v>72.900000000000006</v>
      </c>
      <c r="D5156" s="6">
        <v>69.5</v>
      </c>
      <c r="E5156" s="7">
        <f t="shared" si="80"/>
        <v>142.4</v>
      </c>
      <c r="F5156" s="8"/>
    </row>
    <row r="5157" spans="1:6" ht="18" customHeight="1">
      <c r="A5157" s="4" t="s">
        <v>174</v>
      </c>
      <c r="B5157" s="4" t="str">
        <f>"2020021105"</f>
        <v>2020021105</v>
      </c>
      <c r="C5157" s="5">
        <v>67</v>
      </c>
      <c r="D5157" s="6">
        <v>74.5</v>
      </c>
      <c r="E5157" s="7">
        <f t="shared" si="80"/>
        <v>141.5</v>
      </c>
      <c r="F5157" s="8"/>
    </row>
    <row r="5158" spans="1:6" ht="18" customHeight="1">
      <c r="A5158" s="4" t="s">
        <v>174</v>
      </c>
      <c r="B5158" s="4" t="str">
        <f>"2020031213"</f>
        <v>2020031213</v>
      </c>
      <c r="C5158" s="5">
        <v>63.4</v>
      </c>
      <c r="D5158" s="6">
        <v>78</v>
      </c>
      <c r="E5158" s="7">
        <f t="shared" si="80"/>
        <v>141.4</v>
      </c>
      <c r="F5158" s="8"/>
    </row>
    <row r="5159" spans="1:6" ht="18" customHeight="1">
      <c r="A5159" s="4" t="s">
        <v>174</v>
      </c>
      <c r="B5159" s="4" t="str">
        <f>"2020012909"</f>
        <v>2020012909</v>
      </c>
      <c r="C5159" s="5">
        <v>73</v>
      </c>
      <c r="D5159" s="6">
        <v>68</v>
      </c>
      <c r="E5159" s="7">
        <f t="shared" si="80"/>
        <v>141</v>
      </c>
      <c r="F5159" s="8"/>
    </row>
    <row r="5160" spans="1:6" ht="18" customHeight="1">
      <c r="A5160" s="4" t="s">
        <v>174</v>
      </c>
      <c r="B5160" s="4" t="str">
        <f>"2020044627"</f>
        <v>2020044627</v>
      </c>
      <c r="C5160" s="5">
        <v>67.7</v>
      </c>
      <c r="D5160" s="6">
        <v>72.5</v>
      </c>
      <c r="E5160" s="7">
        <f t="shared" si="80"/>
        <v>140.19999999999999</v>
      </c>
      <c r="F5160" s="8"/>
    </row>
    <row r="5161" spans="1:6" ht="18" customHeight="1">
      <c r="A5161" s="4" t="s">
        <v>174</v>
      </c>
      <c r="B5161" s="4" t="str">
        <f>"2020044625"</f>
        <v>2020044625</v>
      </c>
      <c r="C5161" s="5">
        <v>63.2</v>
      </c>
      <c r="D5161" s="6">
        <v>77</v>
      </c>
      <c r="E5161" s="7">
        <f t="shared" si="80"/>
        <v>140.19999999999999</v>
      </c>
      <c r="F5161" s="8"/>
    </row>
    <row r="5162" spans="1:6" ht="18" customHeight="1">
      <c r="A5162" s="4" t="s">
        <v>174</v>
      </c>
      <c r="B5162" s="4" t="str">
        <f>"2020042926"</f>
        <v>2020042926</v>
      </c>
      <c r="C5162" s="5">
        <v>75.099999999999994</v>
      </c>
      <c r="D5162" s="6">
        <v>65</v>
      </c>
      <c r="E5162" s="7">
        <f t="shared" si="80"/>
        <v>140.1</v>
      </c>
      <c r="F5162" s="8"/>
    </row>
    <row r="5163" spans="1:6" ht="18" customHeight="1">
      <c r="A5163" s="4" t="s">
        <v>174</v>
      </c>
      <c r="B5163" s="4" t="str">
        <f>"2020030313"</f>
        <v>2020030313</v>
      </c>
      <c r="C5163" s="5">
        <v>64</v>
      </c>
      <c r="D5163" s="6">
        <v>75.5</v>
      </c>
      <c r="E5163" s="7">
        <f t="shared" si="80"/>
        <v>139.5</v>
      </c>
      <c r="F5163" s="8"/>
    </row>
    <row r="5164" spans="1:6" ht="18" customHeight="1">
      <c r="A5164" s="4" t="s">
        <v>174</v>
      </c>
      <c r="B5164" s="4" t="str">
        <f>"2020046906"</f>
        <v>2020046906</v>
      </c>
      <c r="C5164" s="5">
        <v>73.5</v>
      </c>
      <c r="D5164" s="6">
        <v>64.5</v>
      </c>
      <c r="E5164" s="7">
        <f t="shared" si="80"/>
        <v>138</v>
      </c>
      <c r="F5164" s="8"/>
    </row>
    <row r="5165" spans="1:6" ht="18" customHeight="1">
      <c r="A5165" s="4" t="s">
        <v>174</v>
      </c>
      <c r="B5165" s="4" t="str">
        <f>"2020041730"</f>
        <v>2020041730</v>
      </c>
      <c r="C5165" s="5">
        <v>72.5</v>
      </c>
      <c r="D5165" s="6">
        <v>64.5</v>
      </c>
      <c r="E5165" s="7">
        <f t="shared" si="80"/>
        <v>137</v>
      </c>
      <c r="F5165" s="8"/>
    </row>
    <row r="5166" spans="1:6" ht="18" customHeight="1">
      <c r="A5166" s="4" t="s">
        <v>174</v>
      </c>
      <c r="B5166" s="4" t="str">
        <f>"2020012514"</f>
        <v>2020012514</v>
      </c>
      <c r="C5166" s="5">
        <v>70.400000000000006</v>
      </c>
      <c r="D5166" s="6">
        <v>66</v>
      </c>
      <c r="E5166" s="7">
        <f t="shared" si="80"/>
        <v>136.4</v>
      </c>
      <c r="F5166" s="8"/>
    </row>
    <row r="5167" spans="1:6" ht="18" customHeight="1">
      <c r="A5167" s="4" t="s">
        <v>174</v>
      </c>
      <c r="B5167" s="4" t="str">
        <f>"2020033223"</f>
        <v>2020033223</v>
      </c>
      <c r="C5167" s="5">
        <v>64.099999999999994</v>
      </c>
      <c r="D5167" s="6">
        <v>72</v>
      </c>
      <c r="E5167" s="7">
        <f t="shared" si="80"/>
        <v>136.1</v>
      </c>
      <c r="F5167" s="8"/>
    </row>
    <row r="5168" spans="1:6" ht="18" customHeight="1">
      <c r="A5168" s="4" t="s">
        <v>174</v>
      </c>
      <c r="B5168" s="4" t="str">
        <f>"2020011316"</f>
        <v>2020011316</v>
      </c>
      <c r="C5168" s="5">
        <v>62.7</v>
      </c>
      <c r="D5168" s="6">
        <v>73</v>
      </c>
      <c r="E5168" s="7">
        <f t="shared" si="80"/>
        <v>135.69999999999999</v>
      </c>
      <c r="F5168" s="8"/>
    </row>
    <row r="5169" spans="1:6" ht="18" customHeight="1">
      <c r="A5169" s="4" t="s">
        <v>174</v>
      </c>
      <c r="B5169" s="4" t="str">
        <f>"2020021608"</f>
        <v>2020021608</v>
      </c>
      <c r="C5169" s="5">
        <v>67.400000000000006</v>
      </c>
      <c r="D5169" s="6">
        <v>67.5</v>
      </c>
      <c r="E5169" s="7">
        <f t="shared" si="80"/>
        <v>134.9</v>
      </c>
      <c r="F5169" s="8"/>
    </row>
    <row r="5170" spans="1:6" ht="18" customHeight="1">
      <c r="A5170" s="4" t="s">
        <v>174</v>
      </c>
      <c r="B5170" s="4" t="str">
        <f>"2020010528"</f>
        <v>2020010528</v>
      </c>
      <c r="C5170" s="5">
        <v>67.8</v>
      </c>
      <c r="D5170" s="6">
        <v>66.5</v>
      </c>
      <c r="E5170" s="7">
        <f t="shared" si="80"/>
        <v>134.30000000000001</v>
      </c>
      <c r="F5170" s="8"/>
    </row>
    <row r="5171" spans="1:6" ht="18" customHeight="1">
      <c r="A5171" s="4" t="s">
        <v>174</v>
      </c>
      <c r="B5171" s="4" t="str">
        <f>"2020047322"</f>
        <v>2020047322</v>
      </c>
      <c r="C5171" s="5">
        <v>74.2</v>
      </c>
      <c r="D5171" s="6">
        <v>60</v>
      </c>
      <c r="E5171" s="7">
        <f t="shared" si="80"/>
        <v>134.19999999999999</v>
      </c>
      <c r="F5171" s="8"/>
    </row>
    <row r="5172" spans="1:6" ht="18" customHeight="1">
      <c r="A5172" s="4" t="s">
        <v>174</v>
      </c>
      <c r="B5172" s="4" t="str">
        <f>"2020046027"</f>
        <v>2020046027</v>
      </c>
      <c r="C5172" s="5">
        <v>67.2</v>
      </c>
      <c r="D5172" s="6">
        <v>66</v>
      </c>
      <c r="E5172" s="7">
        <f t="shared" si="80"/>
        <v>133.19999999999999</v>
      </c>
      <c r="F5172" s="8"/>
    </row>
    <row r="5173" spans="1:6" ht="18" customHeight="1">
      <c r="A5173" s="4" t="s">
        <v>174</v>
      </c>
      <c r="B5173" s="4" t="str">
        <f>"2020022902"</f>
        <v>2020022902</v>
      </c>
      <c r="C5173" s="5">
        <v>62.2</v>
      </c>
      <c r="D5173" s="6">
        <v>71</v>
      </c>
      <c r="E5173" s="7">
        <f t="shared" si="80"/>
        <v>133.19999999999999</v>
      </c>
      <c r="F5173" s="8"/>
    </row>
    <row r="5174" spans="1:6" ht="18" customHeight="1">
      <c r="A5174" s="4" t="s">
        <v>174</v>
      </c>
      <c r="B5174" s="4" t="str">
        <f>"2020021828"</f>
        <v>2020021828</v>
      </c>
      <c r="C5174" s="5">
        <v>67.5</v>
      </c>
      <c r="D5174" s="6">
        <v>65</v>
      </c>
      <c r="E5174" s="7">
        <f t="shared" si="80"/>
        <v>132.5</v>
      </c>
      <c r="F5174" s="8"/>
    </row>
    <row r="5175" spans="1:6" ht="18" customHeight="1">
      <c r="A5175" s="4" t="s">
        <v>174</v>
      </c>
      <c r="B5175" s="4" t="str">
        <f>"2020023009"</f>
        <v>2020023009</v>
      </c>
      <c r="C5175" s="5">
        <v>61.8</v>
      </c>
      <c r="D5175" s="6">
        <v>70.5</v>
      </c>
      <c r="E5175" s="7">
        <f t="shared" si="80"/>
        <v>132.30000000000001</v>
      </c>
      <c r="F5175" s="8"/>
    </row>
    <row r="5176" spans="1:6" ht="18" customHeight="1">
      <c r="A5176" s="4" t="s">
        <v>174</v>
      </c>
      <c r="B5176" s="4" t="str">
        <f>"2020024519"</f>
        <v>2020024519</v>
      </c>
      <c r="C5176" s="5">
        <v>73.099999999999994</v>
      </c>
      <c r="D5176" s="6">
        <v>59</v>
      </c>
      <c r="E5176" s="7">
        <f t="shared" si="80"/>
        <v>132.1</v>
      </c>
      <c r="F5176" s="8"/>
    </row>
    <row r="5177" spans="1:6" ht="18" customHeight="1">
      <c r="A5177" s="4" t="s">
        <v>174</v>
      </c>
      <c r="B5177" s="4" t="str">
        <f>"2020011007"</f>
        <v>2020011007</v>
      </c>
      <c r="C5177" s="5">
        <v>60.5</v>
      </c>
      <c r="D5177" s="6">
        <v>71</v>
      </c>
      <c r="E5177" s="7">
        <f t="shared" si="80"/>
        <v>131.5</v>
      </c>
      <c r="F5177" s="8"/>
    </row>
    <row r="5178" spans="1:6" ht="18" customHeight="1">
      <c r="A5178" s="4" t="s">
        <v>174</v>
      </c>
      <c r="B5178" s="4" t="str">
        <f>"2020047220"</f>
        <v>2020047220</v>
      </c>
      <c r="C5178" s="5">
        <v>64.8</v>
      </c>
      <c r="D5178" s="6">
        <v>66.5</v>
      </c>
      <c r="E5178" s="7">
        <f t="shared" si="80"/>
        <v>131.30000000000001</v>
      </c>
      <c r="F5178" s="8"/>
    </row>
    <row r="5179" spans="1:6" ht="18" customHeight="1">
      <c r="A5179" s="4" t="s">
        <v>174</v>
      </c>
      <c r="B5179" s="4" t="str">
        <f>"2020045620"</f>
        <v>2020045620</v>
      </c>
      <c r="C5179" s="5">
        <v>63.9</v>
      </c>
      <c r="D5179" s="6">
        <v>66.5</v>
      </c>
      <c r="E5179" s="7">
        <f t="shared" si="80"/>
        <v>130.4</v>
      </c>
      <c r="F5179" s="8"/>
    </row>
    <row r="5180" spans="1:6" ht="18" customHeight="1">
      <c r="A5180" s="4" t="s">
        <v>174</v>
      </c>
      <c r="B5180" s="4" t="str">
        <f>"2020020428"</f>
        <v>2020020428</v>
      </c>
      <c r="C5180" s="5">
        <v>62.3</v>
      </c>
      <c r="D5180" s="6">
        <v>67.5</v>
      </c>
      <c r="E5180" s="7">
        <f t="shared" si="80"/>
        <v>129.80000000000001</v>
      </c>
      <c r="F5180" s="8"/>
    </row>
    <row r="5181" spans="1:6" ht="18" customHeight="1">
      <c r="A5181" s="4" t="s">
        <v>174</v>
      </c>
      <c r="B5181" s="4" t="str">
        <f>"2020014026"</f>
        <v>2020014026</v>
      </c>
      <c r="C5181" s="5">
        <v>70.599999999999994</v>
      </c>
      <c r="D5181" s="6">
        <v>59</v>
      </c>
      <c r="E5181" s="7">
        <f t="shared" si="80"/>
        <v>129.6</v>
      </c>
      <c r="F5181" s="8"/>
    </row>
    <row r="5182" spans="1:6" ht="18" customHeight="1">
      <c r="A5182" s="4" t="s">
        <v>174</v>
      </c>
      <c r="B5182" s="4" t="str">
        <f>"2020020117"</f>
        <v>2020020117</v>
      </c>
      <c r="C5182" s="5">
        <v>66</v>
      </c>
      <c r="D5182" s="6">
        <v>63</v>
      </c>
      <c r="E5182" s="7">
        <f t="shared" si="80"/>
        <v>129</v>
      </c>
      <c r="F5182" s="8"/>
    </row>
    <row r="5183" spans="1:6" ht="18" customHeight="1">
      <c r="A5183" s="4" t="s">
        <v>174</v>
      </c>
      <c r="B5183" s="4" t="str">
        <f>"2020012729"</f>
        <v>2020012729</v>
      </c>
      <c r="C5183" s="5">
        <v>67.900000000000006</v>
      </c>
      <c r="D5183" s="6">
        <v>61</v>
      </c>
      <c r="E5183" s="7">
        <f t="shared" si="80"/>
        <v>128.9</v>
      </c>
      <c r="F5183" s="8"/>
    </row>
    <row r="5184" spans="1:6" ht="18" customHeight="1">
      <c r="A5184" s="4" t="s">
        <v>174</v>
      </c>
      <c r="B5184" s="4" t="str">
        <f>"2020031116"</f>
        <v>2020031116</v>
      </c>
      <c r="C5184" s="5">
        <v>65.599999999999994</v>
      </c>
      <c r="D5184" s="6">
        <v>63</v>
      </c>
      <c r="E5184" s="7">
        <f t="shared" si="80"/>
        <v>128.6</v>
      </c>
      <c r="F5184" s="8"/>
    </row>
    <row r="5185" spans="1:6" ht="18" customHeight="1">
      <c r="A5185" s="4" t="s">
        <v>174</v>
      </c>
      <c r="B5185" s="4" t="str">
        <f>"2020012527"</f>
        <v>2020012527</v>
      </c>
      <c r="C5185" s="5">
        <v>70.099999999999994</v>
      </c>
      <c r="D5185" s="6">
        <v>58</v>
      </c>
      <c r="E5185" s="7">
        <f t="shared" si="80"/>
        <v>128.1</v>
      </c>
      <c r="F5185" s="8"/>
    </row>
    <row r="5186" spans="1:6" ht="18" customHeight="1">
      <c r="A5186" s="4" t="s">
        <v>174</v>
      </c>
      <c r="B5186" s="4" t="str">
        <f>"2020042309"</f>
        <v>2020042309</v>
      </c>
      <c r="C5186" s="5">
        <v>66.099999999999994</v>
      </c>
      <c r="D5186" s="6">
        <v>62</v>
      </c>
      <c r="E5186" s="7">
        <f t="shared" si="80"/>
        <v>128.1</v>
      </c>
      <c r="F5186" s="8"/>
    </row>
    <row r="5187" spans="1:6" ht="18" customHeight="1">
      <c r="A5187" s="4" t="s">
        <v>174</v>
      </c>
      <c r="B5187" s="4" t="str">
        <f>"2020044905"</f>
        <v>2020044905</v>
      </c>
      <c r="C5187" s="5">
        <v>61.9</v>
      </c>
      <c r="D5187" s="6">
        <v>66</v>
      </c>
      <c r="E5187" s="7">
        <f t="shared" ref="E5187:E5250" si="81">SUM(C5187:D5187)</f>
        <v>127.9</v>
      </c>
      <c r="F5187" s="8"/>
    </row>
    <row r="5188" spans="1:6" ht="18" customHeight="1">
      <c r="A5188" s="4" t="s">
        <v>174</v>
      </c>
      <c r="B5188" s="4" t="str">
        <f>"2020046716"</f>
        <v>2020046716</v>
      </c>
      <c r="C5188" s="5">
        <v>67.099999999999994</v>
      </c>
      <c r="D5188" s="6">
        <v>60.5</v>
      </c>
      <c r="E5188" s="7">
        <f t="shared" si="81"/>
        <v>127.6</v>
      </c>
      <c r="F5188" s="8"/>
    </row>
    <row r="5189" spans="1:6" ht="18" customHeight="1">
      <c r="A5189" s="4" t="s">
        <v>174</v>
      </c>
      <c r="B5189" s="4" t="str">
        <f>"2020022629"</f>
        <v>2020022629</v>
      </c>
      <c r="C5189" s="5">
        <v>65.400000000000006</v>
      </c>
      <c r="D5189" s="6">
        <v>60.5</v>
      </c>
      <c r="E5189" s="7">
        <f t="shared" si="81"/>
        <v>125.9</v>
      </c>
      <c r="F5189" s="8"/>
    </row>
    <row r="5190" spans="1:6" ht="18" customHeight="1">
      <c r="A5190" s="4" t="s">
        <v>174</v>
      </c>
      <c r="B5190" s="4" t="str">
        <f>"2020022606"</f>
        <v>2020022606</v>
      </c>
      <c r="C5190" s="5">
        <v>67.099999999999994</v>
      </c>
      <c r="D5190" s="6">
        <v>58.5</v>
      </c>
      <c r="E5190" s="7">
        <f t="shared" si="81"/>
        <v>125.6</v>
      </c>
      <c r="F5190" s="8"/>
    </row>
    <row r="5191" spans="1:6" ht="18" customHeight="1">
      <c r="A5191" s="4" t="s">
        <v>174</v>
      </c>
      <c r="B5191" s="4" t="str">
        <f>"2020046003"</f>
        <v>2020046003</v>
      </c>
      <c r="C5191" s="5">
        <v>59.5</v>
      </c>
      <c r="D5191" s="6">
        <v>65.5</v>
      </c>
      <c r="E5191" s="7">
        <f t="shared" si="81"/>
        <v>125</v>
      </c>
      <c r="F5191" s="8"/>
    </row>
    <row r="5192" spans="1:6" ht="18" customHeight="1">
      <c r="A5192" s="4" t="s">
        <v>174</v>
      </c>
      <c r="B5192" s="4" t="str">
        <f>"2020024015"</f>
        <v>2020024015</v>
      </c>
      <c r="C5192" s="5">
        <v>61.6</v>
      </c>
      <c r="D5192" s="6">
        <v>62.5</v>
      </c>
      <c r="E5192" s="7">
        <f t="shared" si="81"/>
        <v>124.1</v>
      </c>
      <c r="F5192" s="8"/>
    </row>
    <row r="5193" spans="1:6" ht="18" customHeight="1">
      <c r="A5193" s="4" t="s">
        <v>174</v>
      </c>
      <c r="B5193" s="4" t="str">
        <f>"2020046308"</f>
        <v>2020046308</v>
      </c>
      <c r="C5193" s="5">
        <v>67.5</v>
      </c>
      <c r="D5193" s="6">
        <v>56.5</v>
      </c>
      <c r="E5193" s="7">
        <f t="shared" si="81"/>
        <v>124</v>
      </c>
      <c r="F5193" s="8"/>
    </row>
    <row r="5194" spans="1:6" ht="18" customHeight="1">
      <c r="A5194" s="4" t="s">
        <v>174</v>
      </c>
      <c r="B5194" s="4" t="str">
        <f>"2020010722"</f>
        <v>2020010722</v>
      </c>
      <c r="C5194" s="5">
        <v>59.8</v>
      </c>
      <c r="D5194" s="6">
        <v>64</v>
      </c>
      <c r="E5194" s="7">
        <f t="shared" si="81"/>
        <v>123.8</v>
      </c>
      <c r="F5194" s="8"/>
    </row>
    <row r="5195" spans="1:6" ht="18" customHeight="1">
      <c r="A5195" s="4" t="s">
        <v>174</v>
      </c>
      <c r="B5195" s="4" t="str">
        <f>"2020043617"</f>
        <v>2020043617</v>
      </c>
      <c r="C5195" s="5">
        <v>58.2</v>
      </c>
      <c r="D5195" s="6">
        <v>65.5</v>
      </c>
      <c r="E5195" s="7">
        <f t="shared" si="81"/>
        <v>123.7</v>
      </c>
      <c r="F5195" s="8"/>
    </row>
    <row r="5196" spans="1:6" ht="18" customHeight="1">
      <c r="A5196" s="4" t="s">
        <v>174</v>
      </c>
      <c r="B5196" s="4" t="str">
        <f>"2020023021"</f>
        <v>2020023021</v>
      </c>
      <c r="C5196" s="5">
        <v>62</v>
      </c>
      <c r="D5196" s="6">
        <v>61.5</v>
      </c>
      <c r="E5196" s="7">
        <f t="shared" si="81"/>
        <v>123.5</v>
      </c>
      <c r="F5196" s="8"/>
    </row>
    <row r="5197" spans="1:6" ht="18" customHeight="1">
      <c r="A5197" s="4" t="s">
        <v>174</v>
      </c>
      <c r="B5197" s="4" t="str">
        <f>"2020021122"</f>
        <v>2020021122</v>
      </c>
      <c r="C5197" s="5">
        <v>57.3</v>
      </c>
      <c r="D5197" s="6">
        <v>65.5</v>
      </c>
      <c r="E5197" s="7">
        <f t="shared" si="81"/>
        <v>122.8</v>
      </c>
      <c r="F5197" s="8"/>
    </row>
    <row r="5198" spans="1:6" ht="18" customHeight="1">
      <c r="A5198" s="4" t="s">
        <v>174</v>
      </c>
      <c r="B5198" s="4" t="str">
        <f>"2020024730"</f>
        <v>2020024730</v>
      </c>
      <c r="C5198" s="5">
        <v>62.2</v>
      </c>
      <c r="D5198" s="6">
        <v>60.5</v>
      </c>
      <c r="E5198" s="7">
        <f t="shared" si="81"/>
        <v>122.7</v>
      </c>
      <c r="F5198" s="8"/>
    </row>
    <row r="5199" spans="1:6" ht="18" customHeight="1">
      <c r="A5199" s="4" t="s">
        <v>174</v>
      </c>
      <c r="B5199" s="4" t="str">
        <f>"2020023106"</f>
        <v>2020023106</v>
      </c>
      <c r="C5199" s="5">
        <v>56.6</v>
      </c>
      <c r="D5199" s="6">
        <v>66</v>
      </c>
      <c r="E5199" s="7">
        <f t="shared" si="81"/>
        <v>122.6</v>
      </c>
      <c r="F5199" s="8"/>
    </row>
    <row r="5200" spans="1:6" ht="18" customHeight="1">
      <c r="A5200" s="4" t="s">
        <v>174</v>
      </c>
      <c r="B5200" s="4" t="str">
        <f>"2020011408"</f>
        <v>2020011408</v>
      </c>
      <c r="C5200" s="5">
        <v>67.7</v>
      </c>
      <c r="D5200" s="6">
        <v>54.5</v>
      </c>
      <c r="E5200" s="7">
        <f t="shared" si="81"/>
        <v>122.2</v>
      </c>
      <c r="F5200" s="8"/>
    </row>
    <row r="5201" spans="1:6" ht="18" customHeight="1">
      <c r="A5201" s="4" t="s">
        <v>174</v>
      </c>
      <c r="B5201" s="4" t="str">
        <f>"2020011509"</f>
        <v>2020011509</v>
      </c>
      <c r="C5201" s="5">
        <v>57.4</v>
      </c>
      <c r="D5201" s="6">
        <v>62.5</v>
      </c>
      <c r="E5201" s="7">
        <f t="shared" si="81"/>
        <v>119.9</v>
      </c>
      <c r="F5201" s="8"/>
    </row>
    <row r="5202" spans="1:6" ht="18" customHeight="1">
      <c r="A5202" s="4" t="s">
        <v>174</v>
      </c>
      <c r="B5202" s="4" t="str">
        <f>"2020033015"</f>
        <v>2020033015</v>
      </c>
      <c r="C5202" s="5">
        <v>64.2</v>
      </c>
      <c r="D5202" s="6">
        <v>55.5</v>
      </c>
      <c r="E5202" s="7">
        <f t="shared" si="81"/>
        <v>119.7</v>
      </c>
      <c r="F5202" s="8"/>
    </row>
    <row r="5203" spans="1:6" ht="18" customHeight="1">
      <c r="A5203" s="4" t="s">
        <v>174</v>
      </c>
      <c r="B5203" s="4" t="str">
        <f>"2020010704"</f>
        <v>2020010704</v>
      </c>
      <c r="C5203" s="5">
        <v>59.3</v>
      </c>
      <c r="D5203" s="6">
        <v>59.5</v>
      </c>
      <c r="E5203" s="7">
        <f t="shared" si="81"/>
        <v>118.8</v>
      </c>
      <c r="F5203" s="8"/>
    </row>
    <row r="5204" spans="1:6" ht="18" customHeight="1">
      <c r="A5204" s="4" t="s">
        <v>174</v>
      </c>
      <c r="B5204" s="4" t="str">
        <f>"2020011504"</f>
        <v>2020011504</v>
      </c>
      <c r="C5204" s="5">
        <v>63.3</v>
      </c>
      <c r="D5204" s="6">
        <v>55</v>
      </c>
      <c r="E5204" s="7">
        <f t="shared" si="81"/>
        <v>118.3</v>
      </c>
      <c r="F5204" s="8"/>
    </row>
    <row r="5205" spans="1:6" ht="18" customHeight="1">
      <c r="A5205" s="4" t="s">
        <v>174</v>
      </c>
      <c r="B5205" s="4" t="str">
        <f>"2020044026"</f>
        <v>2020044026</v>
      </c>
      <c r="C5205" s="5">
        <v>59.6</v>
      </c>
      <c r="D5205" s="6">
        <v>57.5</v>
      </c>
      <c r="E5205" s="7">
        <f t="shared" si="81"/>
        <v>117.1</v>
      </c>
      <c r="F5205" s="8"/>
    </row>
    <row r="5206" spans="1:6" ht="18" customHeight="1">
      <c r="A5206" s="4" t="s">
        <v>174</v>
      </c>
      <c r="B5206" s="4" t="str">
        <f>"2020012309"</f>
        <v>2020012309</v>
      </c>
      <c r="C5206" s="5">
        <v>59.3</v>
      </c>
      <c r="D5206" s="6">
        <v>57</v>
      </c>
      <c r="E5206" s="7">
        <f t="shared" si="81"/>
        <v>116.3</v>
      </c>
      <c r="F5206" s="8"/>
    </row>
    <row r="5207" spans="1:6" ht="18" customHeight="1">
      <c r="A5207" s="4" t="s">
        <v>174</v>
      </c>
      <c r="B5207" s="4" t="str">
        <f>"2020021510"</f>
        <v>2020021510</v>
      </c>
      <c r="C5207" s="5">
        <v>59</v>
      </c>
      <c r="D5207" s="6">
        <v>57</v>
      </c>
      <c r="E5207" s="7">
        <f t="shared" si="81"/>
        <v>116</v>
      </c>
      <c r="F5207" s="8"/>
    </row>
    <row r="5208" spans="1:6" ht="18" customHeight="1">
      <c r="A5208" s="4" t="s">
        <v>174</v>
      </c>
      <c r="B5208" s="4" t="str">
        <f>"2020040118"</f>
        <v>2020040118</v>
      </c>
      <c r="C5208" s="5">
        <v>68.7</v>
      </c>
      <c r="D5208" s="6">
        <v>46</v>
      </c>
      <c r="E5208" s="7">
        <f t="shared" si="81"/>
        <v>114.7</v>
      </c>
      <c r="F5208" s="8"/>
    </row>
    <row r="5209" spans="1:6" ht="18" customHeight="1">
      <c r="A5209" s="4" t="s">
        <v>174</v>
      </c>
      <c r="B5209" s="4" t="str">
        <f>"2020042314"</f>
        <v>2020042314</v>
      </c>
      <c r="C5209" s="5">
        <v>59.4</v>
      </c>
      <c r="D5209" s="6">
        <v>53.5</v>
      </c>
      <c r="E5209" s="7">
        <f t="shared" si="81"/>
        <v>112.9</v>
      </c>
      <c r="F5209" s="8"/>
    </row>
    <row r="5210" spans="1:6" ht="18" customHeight="1">
      <c r="A5210" s="4" t="s">
        <v>174</v>
      </c>
      <c r="B5210" s="4" t="str">
        <f>"2020040903"</f>
        <v>2020040903</v>
      </c>
      <c r="C5210" s="5">
        <v>59.6</v>
      </c>
      <c r="D5210" s="6">
        <v>52</v>
      </c>
      <c r="E5210" s="7">
        <f t="shared" si="81"/>
        <v>111.6</v>
      </c>
      <c r="F5210" s="8"/>
    </row>
    <row r="5211" spans="1:6" ht="18" customHeight="1">
      <c r="A5211" s="4" t="s">
        <v>174</v>
      </c>
      <c r="B5211" s="4" t="str">
        <f>"2020044227"</f>
        <v>2020044227</v>
      </c>
      <c r="C5211" s="5">
        <v>56.5</v>
      </c>
      <c r="D5211" s="6">
        <v>55</v>
      </c>
      <c r="E5211" s="7">
        <f t="shared" si="81"/>
        <v>111.5</v>
      </c>
      <c r="F5211" s="8"/>
    </row>
    <row r="5212" spans="1:6" ht="18" customHeight="1">
      <c r="A5212" s="4" t="s">
        <v>174</v>
      </c>
      <c r="B5212" s="4" t="str">
        <f>"2020042906"</f>
        <v>2020042906</v>
      </c>
      <c r="C5212" s="5">
        <v>56.1</v>
      </c>
      <c r="D5212" s="6">
        <v>53.5</v>
      </c>
      <c r="E5212" s="7">
        <f t="shared" si="81"/>
        <v>109.6</v>
      </c>
      <c r="F5212" s="8"/>
    </row>
    <row r="5213" spans="1:6" ht="18" customHeight="1">
      <c r="A5213" s="4" t="s">
        <v>174</v>
      </c>
      <c r="B5213" s="4" t="str">
        <f>"2020012019"</f>
        <v>2020012019</v>
      </c>
      <c r="C5213" s="5">
        <v>59.4</v>
      </c>
      <c r="D5213" s="6">
        <v>50</v>
      </c>
      <c r="E5213" s="7">
        <f t="shared" si="81"/>
        <v>109.4</v>
      </c>
      <c r="F5213" s="8"/>
    </row>
    <row r="5214" spans="1:6" ht="18" customHeight="1">
      <c r="A5214" s="4" t="s">
        <v>174</v>
      </c>
      <c r="B5214" s="4" t="str">
        <f>"2020022617"</f>
        <v>2020022617</v>
      </c>
      <c r="C5214" s="5">
        <v>59.2</v>
      </c>
      <c r="D5214" s="6">
        <v>50</v>
      </c>
      <c r="E5214" s="7">
        <f t="shared" si="81"/>
        <v>109.2</v>
      </c>
      <c r="F5214" s="8"/>
    </row>
    <row r="5215" spans="1:6" ht="18" customHeight="1">
      <c r="A5215" s="4" t="s">
        <v>174</v>
      </c>
      <c r="B5215" s="4" t="str">
        <f>"2020020702"</f>
        <v>2020020702</v>
      </c>
      <c r="C5215" s="5">
        <v>63.3</v>
      </c>
      <c r="D5215" s="6">
        <v>45</v>
      </c>
      <c r="E5215" s="7">
        <f t="shared" si="81"/>
        <v>108.3</v>
      </c>
      <c r="F5215" s="8"/>
    </row>
    <row r="5216" spans="1:6" ht="18" customHeight="1">
      <c r="A5216" s="4" t="s">
        <v>174</v>
      </c>
      <c r="B5216" s="4" t="str">
        <f>"2020045030"</f>
        <v>2020045030</v>
      </c>
      <c r="C5216" s="5">
        <v>56.4</v>
      </c>
      <c r="D5216" s="6">
        <v>50.5</v>
      </c>
      <c r="E5216" s="7">
        <f t="shared" si="81"/>
        <v>106.9</v>
      </c>
      <c r="F5216" s="8"/>
    </row>
    <row r="5217" spans="1:6" ht="18" customHeight="1">
      <c r="A5217" s="4" t="s">
        <v>174</v>
      </c>
      <c r="B5217" s="4" t="str">
        <f>"2020040725"</f>
        <v>2020040725</v>
      </c>
      <c r="C5217" s="5">
        <v>55.1</v>
      </c>
      <c r="D5217" s="6">
        <v>45.5</v>
      </c>
      <c r="E5217" s="7">
        <f t="shared" si="81"/>
        <v>100.6</v>
      </c>
      <c r="F5217" s="8"/>
    </row>
    <row r="5218" spans="1:6" ht="18" customHeight="1">
      <c r="A5218" s="4" t="s">
        <v>174</v>
      </c>
      <c r="B5218" s="4" t="str">
        <f>"2020010327"</f>
        <v>2020010327</v>
      </c>
      <c r="C5218" s="5">
        <v>0</v>
      </c>
      <c r="D5218" s="6">
        <v>0</v>
      </c>
      <c r="E5218" s="7">
        <f t="shared" si="81"/>
        <v>0</v>
      </c>
      <c r="F5218" s="9" t="s">
        <v>8</v>
      </c>
    </row>
    <row r="5219" spans="1:6" ht="18" customHeight="1">
      <c r="A5219" s="4" t="s">
        <v>174</v>
      </c>
      <c r="B5219" s="4" t="str">
        <f>"2020010414"</f>
        <v>2020010414</v>
      </c>
      <c r="C5219" s="5">
        <v>0</v>
      </c>
      <c r="D5219" s="6">
        <v>0</v>
      </c>
      <c r="E5219" s="7">
        <f t="shared" si="81"/>
        <v>0</v>
      </c>
      <c r="F5219" s="9" t="s">
        <v>8</v>
      </c>
    </row>
    <row r="5220" spans="1:6" ht="18" customHeight="1">
      <c r="A5220" s="4" t="s">
        <v>174</v>
      </c>
      <c r="B5220" s="4" t="str">
        <f>"2020010514"</f>
        <v>2020010514</v>
      </c>
      <c r="C5220" s="5">
        <v>0</v>
      </c>
      <c r="D5220" s="6">
        <v>0</v>
      </c>
      <c r="E5220" s="7">
        <f t="shared" si="81"/>
        <v>0</v>
      </c>
      <c r="F5220" s="9" t="s">
        <v>8</v>
      </c>
    </row>
    <row r="5221" spans="1:6" ht="18" customHeight="1">
      <c r="A5221" s="4" t="s">
        <v>174</v>
      </c>
      <c r="B5221" s="4" t="str">
        <f>"2020011029"</f>
        <v>2020011029</v>
      </c>
      <c r="C5221" s="5">
        <v>0</v>
      </c>
      <c r="D5221" s="6">
        <v>0</v>
      </c>
      <c r="E5221" s="7">
        <f t="shared" si="81"/>
        <v>0</v>
      </c>
      <c r="F5221" s="9" t="s">
        <v>8</v>
      </c>
    </row>
    <row r="5222" spans="1:6" ht="18" customHeight="1">
      <c r="A5222" s="4" t="s">
        <v>174</v>
      </c>
      <c r="B5222" s="4" t="str">
        <f>"2020011729"</f>
        <v>2020011729</v>
      </c>
      <c r="C5222" s="5">
        <v>0</v>
      </c>
      <c r="D5222" s="6">
        <v>0</v>
      </c>
      <c r="E5222" s="7">
        <f t="shared" si="81"/>
        <v>0</v>
      </c>
      <c r="F5222" s="9" t="s">
        <v>8</v>
      </c>
    </row>
    <row r="5223" spans="1:6" ht="18" customHeight="1">
      <c r="A5223" s="4" t="s">
        <v>174</v>
      </c>
      <c r="B5223" s="4" t="str">
        <f>"2020012012"</f>
        <v>2020012012</v>
      </c>
      <c r="C5223" s="5">
        <v>0</v>
      </c>
      <c r="D5223" s="6">
        <v>0</v>
      </c>
      <c r="E5223" s="7">
        <f t="shared" si="81"/>
        <v>0</v>
      </c>
      <c r="F5223" s="9" t="s">
        <v>8</v>
      </c>
    </row>
    <row r="5224" spans="1:6" ht="18" customHeight="1">
      <c r="A5224" s="4" t="s">
        <v>174</v>
      </c>
      <c r="B5224" s="4" t="str">
        <f>"2020012129"</f>
        <v>2020012129</v>
      </c>
      <c r="C5224" s="5">
        <v>0</v>
      </c>
      <c r="D5224" s="6">
        <v>0</v>
      </c>
      <c r="E5224" s="7">
        <f t="shared" si="81"/>
        <v>0</v>
      </c>
      <c r="F5224" s="9" t="s">
        <v>8</v>
      </c>
    </row>
    <row r="5225" spans="1:6" ht="18" customHeight="1">
      <c r="A5225" s="4" t="s">
        <v>174</v>
      </c>
      <c r="B5225" s="4" t="str">
        <f>"2020013124"</f>
        <v>2020013124</v>
      </c>
      <c r="C5225" s="5">
        <v>0</v>
      </c>
      <c r="D5225" s="6">
        <v>0</v>
      </c>
      <c r="E5225" s="7">
        <f t="shared" si="81"/>
        <v>0</v>
      </c>
      <c r="F5225" s="9" t="s">
        <v>8</v>
      </c>
    </row>
    <row r="5226" spans="1:6" ht="18" customHeight="1">
      <c r="A5226" s="4" t="s">
        <v>174</v>
      </c>
      <c r="B5226" s="4" t="str">
        <f>"2020013218"</f>
        <v>2020013218</v>
      </c>
      <c r="C5226" s="5">
        <v>0</v>
      </c>
      <c r="D5226" s="6">
        <v>0</v>
      </c>
      <c r="E5226" s="7">
        <f t="shared" si="81"/>
        <v>0</v>
      </c>
      <c r="F5226" s="9" t="s">
        <v>8</v>
      </c>
    </row>
    <row r="5227" spans="1:6" ht="18" customHeight="1">
      <c r="A5227" s="4" t="s">
        <v>174</v>
      </c>
      <c r="B5227" s="4" t="str">
        <f>"2020020421"</f>
        <v>2020020421</v>
      </c>
      <c r="C5227" s="5">
        <v>0</v>
      </c>
      <c r="D5227" s="6">
        <v>0</v>
      </c>
      <c r="E5227" s="7">
        <f t="shared" si="81"/>
        <v>0</v>
      </c>
      <c r="F5227" s="8" t="s">
        <v>8</v>
      </c>
    </row>
    <row r="5228" spans="1:6" ht="18" customHeight="1">
      <c r="A5228" s="4" t="s">
        <v>174</v>
      </c>
      <c r="B5228" s="4" t="str">
        <f>"2020020602"</f>
        <v>2020020602</v>
      </c>
      <c r="C5228" s="5">
        <v>0</v>
      </c>
      <c r="D5228" s="6">
        <v>0</v>
      </c>
      <c r="E5228" s="7">
        <f t="shared" si="81"/>
        <v>0</v>
      </c>
      <c r="F5228" s="8" t="s">
        <v>8</v>
      </c>
    </row>
    <row r="5229" spans="1:6" ht="18" customHeight="1">
      <c r="A5229" s="4" t="s">
        <v>174</v>
      </c>
      <c r="B5229" s="4" t="str">
        <f>"2020021225"</f>
        <v>2020021225</v>
      </c>
      <c r="C5229" s="5">
        <v>0</v>
      </c>
      <c r="D5229" s="6">
        <v>0</v>
      </c>
      <c r="E5229" s="7">
        <f t="shared" si="81"/>
        <v>0</v>
      </c>
      <c r="F5229" s="8" t="s">
        <v>8</v>
      </c>
    </row>
    <row r="5230" spans="1:6" ht="18" customHeight="1">
      <c r="A5230" s="4" t="s">
        <v>174</v>
      </c>
      <c r="B5230" s="4" t="str">
        <f>"2020021501"</f>
        <v>2020021501</v>
      </c>
      <c r="C5230" s="5">
        <v>0</v>
      </c>
      <c r="D5230" s="6">
        <v>0</v>
      </c>
      <c r="E5230" s="7">
        <f t="shared" si="81"/>
        <v>0</v>
      </c>
      <c r="F5230" s="8" t="s">
        <v>8</v>
      </c>
    </row>
    <row r="5231" spans="1:6" ht="18" customHeight="1">
      <c r="A5231" s="4" t="s">
        <v>174</v>
      </c>
      <c r="B5231" s="4" t="str">
        <f>"2020021915"</f>
        <v>2020021915</v>
      </c>
      <c r="C5231" s="5">
        <v>0</v>
      </c>
      <c r="D5231" s="6">
        <v>0</v>
      </c>
      <c r="E5231" s="7">
        <f t="shared" si="81"/>
        <v>0</v>
      </c>
      <c r="F5231" s="8" t="s">
        <v>8</v>
      </c>
    </row>
    <row r="5232" spans="1:6" ht="18" customHeight="1">
      <c r="A5232" s="4" t="s">
        <v>174</v>
      </c>
      <c r="B5232" s="4" t="str">
        <f>"2020022122"</f>
        <v>2020022122</v>
      </c>
      <c r="C5232" s="5">
        <v>0</v>
      </c>
      <c r="D5232" s="6">
        <v>0</v>
      </c>
      <c r="E5232" s="7">
        <f t="shared" si="81"/>
        <v>0</v>
      </c>
      <c r="F5232" s="8" t="s">
        <v>8</v>
      </c>
    </row>
    <row r="5233" spans="1:6" ht="18" customHeight="1">
      <c r="A5233" s="4" t="s">
        <v>174</v>
      </c>
      <c r="B5233" s="4" t="str">
        <f>"2020023107"</f>
        <v>2020023107</v>
      </c>
      <c r="C5233" s="5">
        <v>0</v>
      </c>
      <c r="D5233" s="6">
        <v>0</v>
      </c>
      <c r="E5233" s="7">
        <f t="shared" si="81"/>
        <v>0</v>
      </c>
      <c r="F5233" s="8" t="s">
        <v>8</v>
      </c>
    </row>
    <row r="5234" spans="1:6" ht="18" customHeight="1">
      <c r="A5234" s="4" t="s">
        <v>174</v>
      </c>
      <c r="B5234" s="4" t="str">
        <f>"2020023402"</f>
        <v>2020023402</v>
      </c>
      <c r="C5234" s="5">
        <v>0</v>
      </c>
      <c r="D5234" s="6">
        <v>0</v>
      </c>
      <c r="E5234" s="7">
        <f t="shared" si="81"/>
        <v>0</v>
      </c>
      <c r="F5234" s="8" t="s">
        <v>8</v>
      </c>
    </row>
    <row r="5235" spans="1:6" ht="18" customHeight="1">
      <c r="A5235" s="4" t="s">
        <v>174</v>
      </c>
      <c r="B5235" s="4" t="str">
        <f>"2020023711"</f>
        <v>2020023711</v>
      </c>
      <c r="C5235" s="5">
        <v>0</v>
      </c>
      <c r="D5235" s="6">
        <v>0</v>
      </c>
      <c r="E5235" s="7">
        <f t="shared" si="81"/>
        <v>0</v>
      </c>
      <c r="F5235" s="8" t="s">
        <v>8</v>
      </c>
    </row>
    <row r="5236" spans="1:6" ht="18" customHeight="1">
      <c r="A5236" s="4" t="s">
        <v>174</v>
      </c>
      <c r="B5236" s="4" t="str">
        <f>"2020023714"</f>
        <v>2020023714</v>
      </c>
      <c r="C5236" s="5">
        <v>0</v>
      </c>
      <c r="D5236" s="6">
        <v>0</v>
      </c>
      <c r="E5236" s="7">
        <f t="shared" si="81"/>
        <v>0</v>
      </c>
      <c r="F5236" s="8" t="s">
        <v>8</v>
      </c>
    </row>
    <row r="5237" spans="1:6" ht="18" customHeight="1">
      <c r="A5237" s="4" t="s">
        <v>174</v>
      </c>
      <c r="B5237" s="4" t="str">
        <f>"2020024604"</f>
        <v>2020024604</v>
      </c>
      <c r="C5237" s="5">
        <v>0</v>
      </c>
      <c r="D5237" s="6">
        <v>0</v>
      </c>
      <c r="E5237" s="7">
        <f t="shared" si="81"/>
        <v>0</v>
      </c>
      <c r="F5237" s="8" t="s">
        <v>8</v>
      </c>
    </row>
    <row r="5238" spans="1:6" ht="18" customHeight="1">
      <c r="A5238" s="4" t="s">
        <v>174</v>
      </c>
      <c r="B5238" s="4" t="str">
        <f>"2020033124"</f>
        <v>2020033124</v>
      </c>
      <c r="C5238" s="5">
        <v>0</v>
      </c>
      <c r="D5238" s="6">
        <v>0</v>
      </c>
      <c r="E5238" s="7">
        <f t="shared" si="81"/>
        <v>0</v>
      </c>
      <c r="F5238" s="8" t="s">
        <v>8</v>
      </c>
    </row>
    <row r="5239" spans="1:6" ht="18" customHeight="1">
      <c r="A5239" s="4" t="s">
        <v>174</v>
      </c>
      <c r="B5239" s="4" t="str">
        <f>"2020033614"</f>
        <v>2020033614</v>
      </c>
      <c r="C5239" s="5">
        <v>0</v>
      </c>
      <c r="D5239" s="6">
        <v>0</v>
      </c>
      <c r="E5239" s="7">
        <f t="shared" si="81"/>
        <v>0</v>
      </c>
      <c r="F5239" s="8" t="s">
        <v>8</v>
      </c>
    </row>
    <row r="5240" spans="1:6" ht="18" customHeight="1">
      <c r="A5240" s="4" t="s">
        <v>174</v>
      </c>
      <c r="B5240" s="4" t="str">
        <f>"2020033904"</f>
        <v>2020033904</v>
      </c>
      <c r="C5240" s="5">
        <v>0</v>
      </c>
      <c r="D5240" s="6">
        <v>0</v>
      </c>
      <c r="E5240" s="7">
        <f t="shared" si="81"/>
        <v>0</v>
      </c>
      <c r="F5240" s="8" t="s">
        <v>8</v>
      </c>
    </row>
    <row r="5241" spans="1:6" ht="18" customHeight="1">
      <c r="A5241" s="4" t="s">
        <v>174</v>
      </c>
      <c r="B5241" s="4" t="str">
        <f>"2020040222"</f>
        <v>2020040222</v>
      </c>
      <c r="C5241" s="5">
        <v>0</v>
      </c>
      <c r="D5241" s="6">
        <v>0</v>
      </c>
      <c r="E5241" s="7">
        <f t="shared" si="81"/>
        <v>0</v>
      </c>
      <c r="F5241" s="8" t="s">
        <v>8</v>
      </c>
    </row>
    <row r="5242" spans="1:6" ht="18" customHeight="1">
      <c r="A5242" s="4" t="s">
        <v>174</v>
      </c>
      <c r="B5242" s="4" t="str">
        <f>"2020040709"</f>
        <v>2020040709</v>
      </c>
      <c r="C5242" s="5">
        <v>0</v>
      </c>
      <c r="D5242" s="6">
        <v>0</v>
      </c>
      <c r="E5242" s="7">
        <f t="shared" si="81"/>
        <v>0</v>
      </c>
      <c r="F5242" s="8" t="s">
        <v>8</v>
      </c>
    </row>
    <row r="5243" spans="1:6" ht="18" customHeight="1">
      <c r="A5243" s="4" t="s">
        <v>174</v>
      </c>
      <c r="B5243" s="4" t="str">
        <f>"2020040911"</f>
        <v>2020040911</v>
      </c>
      <c r="C5243" s="5">
        <v>0</v>
      </c>
      <c r="D5243" s="6">
        <v>0</v>
      </c>
      <c r="E5243" s="7">
        <f t="shared" si="81"/>
        <v>0</v>
      </c>
      <c r="F5243" s="8" t="s">
        <v>8</v>
      </c>
    </row>
    <row r="5244" spans="1:6" ht="18" customHeight="1">
      <c r="A5244" s="4" t="s">
        <v>174</v>
      </c>
      <c r="B5244" s="4" t="str">
        <f>"2020041423"</f>
        <v>2020041423</v>
      </c>
      <c r="C5244" s="5">
        <v>0</v>
      </c>
      <c r="D5244" s="6">
        <v>0</v>
      </c>
      <c r="E5244" s="7">
        <f t="shared" si="81"/>
        <v>0</v>
      </c>
      <c r="F5244" s="8" t="s">
        <v>8</v>
      </c>
    </row>
    <row r="5245" spans="1:6" ht="18" customHeight="1">
      <c r="A5245" s="4" t="s">
        <v>174</v>
      </c>
      <c r="B5245" s="4" t="str">
        <f>"2020042123"</f>
        <v>2020042123</v>
      </c>
      <c r="C5245" s="5">
        <v>0</v>
      </c>
      <c r="D5245" s="6">
        <v>0</v>
      </c>
      <c r="E5245" s="7">
        <f t="shared" si="81"/>
        <v>0</v>
      </c>
      <c r="F5245" s="8" t="s">
        <v>8</v>
      </c>
    </row>
    <row r="5246" spans="1:6" ht="18" customHeight="1">
      <c r="A5246" s="4" t="s">
        <v>174</v>
      </c>
      <c r="B5246" s="4" t="str">
        <f>"2020042326"</f>
        <v>2020042326</v>
      </c>
      <c r="C5246" s="5">
        <v>0</v>
      </c>
      <c r="D5246" s="6">
        <v>0</v>
      </c>
      <c r="E5246" s="7">
        <f t="shared" si="81"/>
        <v>0</v>
      </c>
      <c r="F5246" s="8" t="s">
        <v>8</v>
      </c>
    </row>
    <row r="5247" spans="1:6" ht="18" customHeight="1">
      <c r="A5247" s="4" t="s">
        <v>174</v>
      </c>
      <c r="B5247" s="4" t="str">
        <f>"2020043124"</f>
        <v>2020043124</v>
      </c>
      <c r="C5247" s="5">
        <v>0</v>
      </c>
      <c r="D5247" s="6">
        <v>0</v>
      </c>
      <c r="E5247" s="7">
        <f t="shared" si="81"/>
        <v>0</v>
      </c>
      <c r="F5247" s="8" t="s">
        <v>8</v>
      </c>
    </row>
    <row r="5248" spans="1:6" ht="18" customHeight="1">
      <c r="A5248" s="4" t="s">
        <v>174</v>
      </c>
      <c r="B5248" s="4" t="str">
        <f>"2020043620"</f>
        <v>2020043620</v>
      </c>
      <c r="C5248" s="5">
        <v>0</v>
      </c>
      <c r="D5248" s="6">
        <v>0</v>
      </c>
      <c r="E5248" s="7">
        <f t="shared" si="81"/>
        <v>0</v>
      </c>
      <c r="F5248" s="8" t="s">
        <v>8</v>
      </c>
    </row>
    <row r="5249" spans="1:6" ht="18" customHeight="1">
      <c r="A5249" s="4" t="s">
        <v>174</v>
      </c>
      <c r="B5249" s="4" t="str">
        <f>"2020044328"</f>
        <v>2020044328</v>
      </c>
      <c r="C5249" s="5">
        <v>0</v>
      </c>
      <c r="D5249" s="6">
        <v>0</v>
      </c>
      <c r="E5249" s="7">
        <f t="shared" si="81"/>
        <v>0</v>
      </c>
      <c r="F5249" s="8" t="s">
        <v>8</v>
      </c>
    </row>
    <row r="5250" spans="1:6" ht="18" customHeight="1">
      <c r="A5250" s="4" t="s">
        <v>174</v>
      </c>
      <c r="B5250" s="4" t="str">
        <f>"2020044705"</f>
        <v>2020044705</v>
      </c>
      <c r="C5250" s="5">
        <v>0</v>
      </c>
      <c r="D5250" s="6">
        <v>0</v>
      </c>
      <c r="E5250" s="7">
        <f t="shared" si="81"/>
        <v>0</v>
      </c>
      <c r="F5250" s="8" t="s">
        <v>8</v>
      </c>
    </row>
    <row r="5251" spans="1:6" ht="18" customHeight="1">
      <c r="A5251" s="4" t="s">
        <v>174</v>
      </c>
      <c r="B5251" s="4" t="str">
        <f>"2020045021"</f>
        <v>2020045021</v>
      </c>
      <c r="C5251" s="5">
        <v>0</v>
      </c>
      <c r="D5251" s="6">
        <v>0</v>
      </c>
      <c r="E5251" s="7">
        <f t="shared" ref="E5251:E5314" si="82">SUM(C5251:D5251)</f>
        <v>0</v>
      </c>
      <c r="F5251" s="8" t="s">
        <v>8</v>
      </c>
    </row>
    <row r="5252" spans="1:6" ht="18" customHeight="1">
      <c r="A5252" s="4" t="s">
        <v>174</v>
      </c>
      <c r="B5252" s="4" t="str">
        <f>"2020045704"</f>
        <v>2020045704</v>
      </c>
      <c r="C5252" s="5">
        <v>0</v>
      </c>
      <c r="D5252" s="6">
        <v>0</v>
      </c>
      <c r="E5252" s="7">
        <f t="shared" si="82"/>
        <v>0</v>
      </c>
      <c r="F5252" s="8" t="s">
        <v>8</v>
      </c>
    </row>
    <row r="5253" spans="1:6" ht="18" customHeight="1">
      <c r="A5253" s="4" t="s">
        <v>174</v>
      </c>
      <c r="B5253" s="4" t="str">
        <f>"2020046023"</f>
        <v>2020046023</v>
      </c>
      <c r="C5253" s="5">
        <v>0</v>
      </c>
      <c r="D5253" s="6">
        <v>0</v>
      </c>
      <c r="E5253" s="7">
        <f t="shared" si="82"/>
        <v>0</v>
      </c>
      <c r="F5253" s="8" t="s">
        <v>8</v>
      </c>
    </row>
    <row r="5254" spans="1:6" ht="18" customHeight="1">
      <c r="A5254" s="4" t="s">
        <v>174</v>
      </c>
      <c r="B5254" s="4" t="str">
        <f>"2020047018"</f>
        <v>2020047018</v>
      </c>
      <c r="C5254" s="5">
        <v>0</v>
      </c>
      <c r="D5254" s="6">
        <v>0</v>
      </c>
      <c r="E5254" s="7">
        <f t="shared" si="82"/>
        <v>0</v>
      </c>
      <c r="F5254" s="8" t="s">
        <v>8</v>
      </c>
    </row>
    <row r="5255" spans="1:6" ht="18" customHeight="1">
      <c r="A5255" s="4" t="s">
        <v>174</v>
      </c>
      <c r="B5255" s="4" t="str">
        <f>"2020047309"</f>
        <v>2020047309</v>
      </c>
      <c r="C5255" s="5">
        <v>0</v>
      </c>
      <c r="D5255" s="6">
        <v>0</v>
      </c>
      <c r="E5255" s="7">
        <f t="shared" si="82"/>
        <v>0</v>
      </c>
      <c r="F5255" s="8" t="s">
        <v>8</v>
      </c>
    </row>
    <row r="5256" spans="1:6" ht="18" customHeight="1">
      <c r="A5256" s="4" t="s">
        <v>174</v>
      </c>
      <c r="B5256" s="4" t="str">
        <f>"2020047422"</f>
        <v>2020047422</v>
      </c>
      <c r="C5256" s="5">
        <v>0</v>
      </c>
      <c r="D5256" s="6">
        <v>0</v>
      </c>
      <c r="E5256" s="7">
        <f t="shared" si="82"/>
        <v>0</v>
      </c>
      <c r="F5256" s="8" t="s">
        <v>8</v>
      </c>
    </row>
    <row r="5257" spans="1:6" ht="18" customHeight="1">
      <c r="A5257" s="4" t="s">
        <v>174</v>
      </c>
      <c r="B5257" s="4" t="str">
        <f>"2020047603"</f>
        <v>2020047603</v>
      </c>
      <c r="C5257" s="5">
        <v>0</v>
      </c>
      <c r="D5257" s="6">
        <v>0</v>
      </c>
      <c r="E5257" s="7">
        <f t="shared" si="82"/>
        <v>0</v>
      </c>
      <c r="F5257" s="8" t="s">
        <v>8</v>
      </c>
    </row>
    <row r="5258" spans="1:6" ht="18" customHeight="1">
      <c r="A5258" s="4" t="s">
        <v>175</v>
      </c>
      <c r="B5258" s="4" t="str">
        <f>"2020044025"</f>
        <v>2020044025</v>
      </c>
      <c r="C5258" s="5">
        <v>76.599999999999994</v>
      </c>
      <c r="D5258" s="6">
        <v>83.5</v>
      </c>
      <c r="E5258" s="7">
        <f t="shared" si="82"/>
        <v>160.1</v>
      </c>
      <c r="F5258" s="8"/>
    </row>
    <row r="5259" spans="1:6" ht="18" customHeight="1">
      <c r="A5259" s="4" t="s">
        <v>175</v>
      </c>
      <c r="B5259" s="4" t="str">
        <f>"2020042419"</f>
        <v>2020042419</v>
      </c>
      <c r="C5259" s="5">
        <v>65.900000000000006</v>
      </c>
      <c r="D5259" s="6">
        <v>74</v>
      </c>
      <c r="E5259" s="7">
        <f t="shared" si="82"/>
        <v>139.9</v>
      </c>
      <c r="F5259" s="8"/>
    </row>
    <row r="5260" spans="1:6" ht="18" customHeight="1">
      <c r="A5260" s="4" t="s">
        <v>175</v>
      </c>
      <c r="B5260" s="4" t="str">
        <f>"2020010520"</f>
        <v>2020010520</v>
      </c>
      <c r="C5260" s="5">
        <v>72.3</v>
      </c>
      <c r="D5260" s="6">
        <v>57.5</v>
      </c>
      <c r="E5260" s="7">
        <f t="shared" si="82"/>
        <v>129.80000000000001</v>
      </c>
      <c r="F5260" s="8"/>
    </row>
    <row r="5261" spans="1:6" ht="18" customHeight="1">
      <c r="A5261" s="4" t="s">
        <v>175</v>
      </c>
      <c r="B5261" s="4" t="str">
        <f>"2020011208"</f>
        <v>2020011208</v>
      </c>
      <c r="C5261" s="5">
        <v>66</v>
      </c>
      <c r="D5261" s="6">
        <v>63</v>
      </c>
      <c r="E5261" s="7">
        <f t="shared" si="82"/>
        <v>129</v>
      </c>
      <c r="F5261" s="8"/>
    </row>
    <row r="5262" spans="1:6" ht="18" customHeight="1">
      <c r="A5262" s="4" t="s">
        <v>176</v>
      </c>
      <c r="B5262" s="4" t="str">
        <f>"2020043602"</f>
        <v>2020043602</v>
      </c>
      <c r="C5262" s="5">
        <v>74.400000000000006</v>
      </c>
      <c r="D5262" s="6">
        <v>71</v>
      </c>
      <c r="E5262" s="7">
        <f t="shared" si="82"/>
        <v>145.4</v>
      </c>
      <c r="F5262" s="8"/>
    </row>
    <row r="5263" spans="1:6" ht="18" customHeight="1">
      <c r="A5263" s="4" t="s">
        <v>176</v>
      </c>
      <c r="B5263" s="4" t="str">
        <f>"2020010924"</f>
        <v>2020010924</v>
      </c>
      <c r="C5263" s="5">
        <v>73.2</v>
      </c>
      <c r="D5263" s="6">
        <v>70</v>
      </c>
      <c r="E5263" s="7">
        <f t="shared" si="82"/>
        <v>143.19999999999999</v>
      </c>
      <c r="F5263" s="8"/>
    </row>
    <row r="5264" spans="1:6" ht="18" customHeight="1">
      <c r="A5264" s="4" t="s">
        <v>176</v>
      </c>
      <c r="B5264" s="4" t="str">
        <f>"2020041322"</f>
        <v>2020041322</v>
      </c>
      <c r="C5264" s="5">
        <v>73.900000000000006</v>
      </c>
      <c r="D5264" s="6">
        <v>66.5</v>
      </c>
      <c r="E5264" s="7">
        <f t="shared" si="82"/>
        <v>140.4</v>
      </c>
      <c r="F5264" s="8"/>
    </row>
    <row r="5265" spans="1:6" ht="18" customHeight="1">
      <c r="A5265" s="4" t="s">
        <v>176</v>
      </c>
      <c r="B5265" s="4" t="str">
        <f>"2020012412"</f>
        <v>2020012412</v>
      </c>
      <c r="C5265" s="5">
        <v>62</v>
      </c>
      <c r="D5265" s="6">
        <v>73</v>
      </c>
      <c r="E5265" s="7">
        <f t="shared" si="82"/>
        <v>135</v>
      </c>
      <c r="F5265" s="8"/>
    </row>
    <row r="5266" spans="1:6" ht="18" customHeight="1">
      <c r="A5266" s="4" t="s">
        <v>176</v>
      </c>
      <c r="B5266" s="4" t="str">
        <f>"2020040622"</f>
        <v>2020040622</v>
      </c>
      <c r="C5266" s="5">
        <v>68.900000000000006</v>
      </c>
      <c r="D5266" s="6">
        <v>64.5</v>
      </c>
      <c r="E5266" s="7">
        <f t="shared" si="82"/>
        <v>133.4</v>
      </c>
      <c r="F5266" s="8"/>
    </row>
    <row r="5267" spans="1:6" ht="18" customHeight="1">
      <c r="A5267" s="4" t="s">
        <v>176</v>
      </c>
      <c r="B5267" s="4" t="str">
        <f>"2020010912"</f>
        <v>2020010912</v>
      </c>
      <c r="C5267" s="5">
        <v>65.7</v>
      </c>
      <c r="D5267" s="6">
        <v>65</v>
      </c>
      <c r="E5267" s="7">
        <f t="shared" si="82"/>
        <v>130.69999999999999</v>
      </c>
      <c r="F5267" s="8"/>
    </row>
    <row r="5268" spans="1:6" ht="18" customHeight="1">
      <c r="A5268" s="4" t="s">
        <v>176</v>
      </c>
      <c r="B5268" s="4" t="str">
        <f>"2020046125"</f>
        <v>2020046125</v>
      </c>
      <c r="C5268" s="5">
        <v>62</v>
      </c>
      <c r="D5268" s="6">
        <v>54</v>
      </c>
      <c r="E5268" s="7">
        <f t="shared" si="82"/>
        <v>116</v>
      </c>
      <c r="F5268" s="8"/>
    </row>
    <row r="5269" spans="1:6" ht="18" customHeight="1">
      <c r="A5269" s="4" t="s">
        <v>176</v>
      </c>
      <c r="B5269" s="4" t="str">
        <f>"2020023016"</f>
        <v>2020023016</v>
      </c>
      <c r="C5269" s="5">
        <v>68.3</v>
      </c>
      <c r="D5269" s="6">
        <v>47.5</v>
      </c>
      <c r="E5269" s="7">
        <f t="shared" si="82"/>
        <v>115.8</v>
      </c>
      <c r="F5269" s="8"/>
    </row>
    <row r="5270" spans="1:6" ht="18" customHeight="1">
      <c r="A5270" s="4" t="s">
        <v>176</v>
      </c>
      <c r="B5270" s="4" t="str">
        <f>"2020020306"</f>
        <v>2020020306</v>
      </c>
      <c r="C5270" s="5">
        <v>0</v>
      </c>
      <c r="D5270" s="6">
        <v>0</v>
      </c>
      <c r="E5270" s="7">
        <f t="shared" si="82"/>
        <v>0</v>
      </c>
      <c r="F5270" s="8" t="s">
        <v>8</v>
      </c>
    </row>
    <row r="5271" spans="1:6" ht="18" customHeight="1">
      <c r="A5271" s="4" t="s">
        <v>176</v>
      </c>
      <c r="B5271" s="4" t="str">
        <f>"2020033222"</f>
        <v>2020033222</v>
      </c>
      <c r="C5271" s="5">
        <v>0</v>
      </c>
      <c r="D5271" s="6">
        <v>0</v>
      </c>
      <c r="E5271" s="7">
        <f t="shared" si="82"/>
        <v>0</v>
      </c>
      <c r="F5271" s="8" t="s">
        <v>8</v>
      </c>
    </row>
    <row r="5272" spans="1:6" ht="18" customHeight="1">
      <c r="A5272" s="4" t="s">
        <v>177</v>
      </c>
      <c r="B5272" s="4" t="str">
        <f>"2020023311"</f>
        <v>2020023311</v>
      </c>
      <c r="C5272" s="5">
        <v>73.5</v>
      </c>
      <c r="D5272" s="6">
        <v>83.5</v>
      </c>
      <c r="E5272" s="7">
        <f t="shared" si="82"/>
        <v>157</v>
      </c>
      <c r="F5272" s="8"/>
    </row>
    <row r="5273" spans="1:6" ht="18" customHeight="1">
      <c r="A5273" s="4" t="s">
        <v>177</v>
      </c>
      <c r="B5273" s="4" t="str">
        <f>"2020024319"</f>
        <v>2020024319</v>
      </c>
      <c r="C5273" s="5">
        <v>75.400000000000006</v>
      </c>
      <c r="D5273" s="6">
        <v>77</v>
      </c>
      <c r="E5273" s="7">
        <f t="shared" si="82"/>
        <v>152.4</v>
      </c>
      <c r="F5273" s="8"/>
    </row>
    <row r="5274" spans="1:6" ht="18" customHeight="1">
      <c r="A5274" s="4" t="s">
        <v>177</v>
      </c>
      <c r="B5274" s="4" t="str">
        <f>"2020041605"</f>
        <v>2020041605</v>
      </c>
      <c r="C5274" s="5">
        <v>72.8</v>
      </c>
      <c r="D5274" s="6">
        <v>75</v>
      </c>
      <c r="E5274" s="7">
        <f t="shared" si="82"/>
        <v>147.80000000000001</v>
      </c>
      <c r="F5274" s="8"/>
    </row>
    <row r="5275" spans="1:6" ht="18" customHeight="1">
      <c r="A5275" s="4" t="s">
        <v>177</v>
      </c>
      <c r="B5275" s="4" t="str">
        <f>"2020047009"</f>
        <v>2020047009</v>
      </c>
      <c r="C5275" s="5">
        <v>68.8</v>
      </c>
      <c r="D5275" s="6">
        <v>78</v>
      </c>
      <c r="E5275" s="7">
        <f t="shared" si="82"/>
        <v>146.80000000000001</v>
      </c>
      <c r="F5275" s="8"/>
    </row>
    <row r="5276" spans="1:6" ht="18" customHeight="1">
      <c r="A5276" s="4" t="s">
        <v>177</v>
      </c>
      <c r="B5276" s="4" t="str">
        <f>"2020011321"</f>
        <v>2020011321</v>
      </c>
      <c r="C5276" s="5">
        <v>75.5</v>
      </c>
      <c r="D5276" s="6">
        <v>71</v>
      </c>
      <c r="E5276" s="7">
        <f t="shared" si="82"/>
        <v>146.5</v>
      </c>
      <c r="F5276" s="8"/>
    </row>
    <row r="5277" spans="1:6" ht="18" customHeight="1">
      <c r="A5277" s="4" t="s">
        <v>177</v>
      </c>
      <c r="B5277" s="4" t="str">
        <f>"2020032228"</f>
        <v>2020032228</v>
      </c>
      <c r="C5277" s="5">
        <v>71.599999999999994</v>
      </c>
      <c r="D5277" s="6">
        <v>74.5</v>
      </c>
      <c r="E5277" s="7">
        <f t="shared" si="82"/>
        <v>146.1</v>
      </c>
      <c r="F5277" s="8"/>
    </row>
    <row r="5278" spans="1:6" ht="18" customHeight="1">
      <c r="A5278" s="4" t="s">
        <v>177</v>
      </c>
      <c r="B5278" s="4" t="str">
        <f>"2020012702"</f>
        <v>2020012702</v>
      </c>
      <c r="C5278" s="5">
        <v>75.7</v>
      </c>
      <c r="D5278" s="6">
        <v>68.5</v>
      </c>
      <c r="E5278" s="7">
        <f t="shared" si="82"/>
        <v>144.19999999999999</v>
      </c>
      <c r="F5278" s="8"/>
    </row>
    <row r="5279" spans="1:6" ht="18" customHeight="1">
      <c r="A5279" s="4" t="s">
        <v>177</v>
      </c>
      <c r="B5279" s="4" t="str">
        <f>"2020020516"</f>
        <v>2020020516</v>
      </c>
      <c r="C5279" s="5">
        <v>68.7</v>
      </c>
      <c r="D5279" s="6">
        <v>73</v>
      </c>
      <c r="E5279" s="7">
        <f t="shared" si="82"/>
        <v>141.69999999999999</v>
      </c>
      <c r="F5279" s="8"/>
    </row>
    <row r="5280" spans="1:6" ht="18" customHeight="1">
      <c r="A5280" s="4" t="s">
        <v>177</v>
      </c>
      <c r="B5280" s="4" t="str">
        <f>"2020010203"</f>
        <v>2020010203</v>
      </c>
      <c r="C5280" s="5">
        <v>76.900000000000006</v>
      </c>
      <c r="D5280" s="6">
        <v>64</v>
      </c>
      <c r="E5280" s="7">
        <f t="shared" si="82"/>
        <v>140.9</v>
      </c>
      <c r="F5280" s="8"/>
    </row>
    <row r="5281" spans="1:6" ht="18" customHeight="1">
      <c r="A5281" s="4" t="s">
        <v>177</v>
      </c>
      <c r="B5281" s="4" t="str">
        <f>"2020047621"</f>
        <v>2020047621</v>
      </c>
      <c r="C5281" s="5">
        <v>69.900000000000006</v>
      </c>
      <c r="D5281" s="6">
        <v>68.5</v>
      </c>
      <c r="E5281" s="7">
        <f t="shared" si="82"/>
        <v>138.4</v>
      </c>
      <c r="F5281" s="8"/>
    </row>
    <row r="5282" spans="1:6" ht="18" customHeight="1">
      <c r="A5282" s="4" t="s">
        <v>177</v>
      </c>
      <c r="B5282" s="4" t="str">
        <f>"2020044402"</f>
        <v>2020044402</v>
      </c>
      <c r="C5282" s="5">
        <v>65.900000000000006</v>
      </c>
      <c r="D5282" s="6">
        <v>72</v>
      </c>
      <c r="E5282" s="7">
        <f t="shared" si="82"/>
        <v>137.9</v>
      </c>
      <c r="F5282" s="8"/>
    </row>
    <row r="5283" spans="1:6" ht="18" customHeight="1">
      <c r="A5283" s="4" t="s">
        <v>177</v>
      </c>
      <c r="B5283" s="4" t="str">
        <f>"2020011310"</f>
        <v>2020011310</v>
      </c>
      <c r="C5283" s="5">
        <v>67.5</v>
      </c>
      <c r="D5283" s="6">
        <v>65</v>
      </c>
      <c r="E5283" s="7">
        <f t="shared" si="82"/>
        <v>132.5</v>
      </c>
      <c r="F5283" s="8"/>
    </row>
    <row r="5284" spans="1:6" ht="18" customHeight="1">
      <c r="A5284" s="4" t="s">
        <v>177</v>
      </c>
      <c r="B5284" s="4" t="str">
        <f>"2020021917"</f>
        <v>2020021917</v>
      </c>
      <c r="C5284" s="5">
        <v>66.2</v>
      </c>
      <c r="D5284" s="6">
        <v>65.5</v>
      </c>
      <c r="E5284" s="7">
        <f t="shared" si="82"/>
        <v>131.69999999999999</v>
      </c>
      <c r="F5284" s="8"/>
    </row>
    <row r="5285" spans="1:6" ht="18" customHeight="1">
      <c r="A5285" s="4" t="s">
        <v>177</v>
      </c>
      <c r="B5285" s="4" t="str">
        <f>"2020024501"</f>
        <v>2020024501</v>
      </c>
      <c r="C5285" s="5">
        <v>62.7</v>
      </c>
      <c r="D5285" s="6">
        <v>57.5</v>
      </c>
      <c r="E5285" s="7">
        <f t="shared" si="82"/>
        <v>120.2</v>
      </c>
      <c r="F5285" s="8"/>
    </row>
    <row r="5286" spans="1:6" ht="18" customHeight="1">
      <c r="A5286" s="4" t="s">
        <v>177</v>
      </c>
      <c r="B5286" s="4" t="str">
        <f>"2020044409"</f>
        <v>2020044409</v>
      </c>
      <c r="C5286" s="5">
        <v>58.7</v>
      </c>
      <c r="D5286" s="6">
        <v>58.5</v>
      </c>
      <c r="E5286" s="7">
        <f t="shared" si="82"/>
        <v>117.2</v>
      </c>
      <c r="F5286" s="8"/>
    </row>
    <row r="5287" spans="1:6" ht="18" customHeight="1">
      <c r="A5287" s="4" t="s">
        <v>177</v>
      </c>
      <c r="B5287" s="4" t="str">
        <f>"2020013014"</f>
        <v>2020013014</v>
      </c>
      <c r="C5287" s="5">
        <v>0</v>
      </c>
      <c r="D5287" s="6">
        <v>0</v>
      </c>
      <c r="E5287" s="7">
        <f t="shared" si="82"/>
        <v>0</v>
      </c>
      <c r="F5287" s="9" t="s">
        <v>8</v>
      </c>
    </row>
    <row r="5288" spans="1:6" ht="18" customHeight="1">
      <c r="A5288" s="4" t="s">
        <v>177</v>
      </c>
      <c r="B5288" s="4" t="str">
        <f>"2020022103"</f>
        <v>2020022103</v>
      </c>
      <c r="C5288" s="5">
        <v>0</v>
      </c>
      <c r="D5288" s="6">
        <v>0</v>
      </c>
      <c r="E5288" s="7">
        <f t="shared" si="82"/>
        <v>0</v>
      </c>
      <c r="F5288" s="8" t="s">
        <v>8</v>
      </c>
    </row>
    <row r="5289" spans="1:6" ht="18" customHeight="1">
      <c r="A5289" s="4" t="s">
        <v>177</v>
      </c>
      <c r="B5289" s="4" t="str">
        <f>"2020024010"</f>
        <v>2020024010</v>
      </c>
      <c r="C5289" s="5">
        <v>0</v>
      </c>
      <c r="D5289" s="6">
        <v>0</v>
      </c>
      <c r="E5289" s="7">
        <f t="shared" si="82"/>
        <v>0</v>
      </c>
      <c r="F5289" s="8" t="s">
        <v>8</v>
      </c>
    </row>
    <row r="5290" spans="1:6" ht="18" customHeight="1">
      <c r="A5290" s="4" t="s">
        <v>177</v>
      </c>
      <c r="B5290" s="4" t="str">
        <f>"2020024013"</f>
        <v>2020024013</v>
      </c>
      <c r="C5290" s="5">
        <v>0</v>
      </c>
      <c r="D5290" s="6">
        <v>0</v>
      </c>
      <c r="E5290" s="7">
        <f t="shared" si="82"/>
        <v>0</v>
      </c>
      <c r="F5290" s="8" t="s">
        <v>8</v>
      </c>
    </row>
    <row r="5291" spans="1:6" ht="18" customHeight="1">
      <c r="A5291" s="4" t="s">
        <v>177</v>
      </c>
      <c r="B5291" s="4" t="str">
        <f>"2020032215"</f>
        <v>2020032215</v>
      </c>
      <c r="C5291" s="5">
        <v>0</v>
      </c>
      <c r="D5291" s="6">
        <v>0</v>
      </c>
      <c r="E5291" s="7">
        <f t="shared" si="82"/>
        <v>0</v>
      </c>
      <c r="F5291" s="8" t="s">
        <v>8</v>
      </c>
    </row>
    <row r="5292" spans="1:6" ht="18" customHeight="1">
      <c r="A5292" s="4" t="s">
        <v>177</v>
      </c>
      <c r="B5292" s="4" t="str">
        <f>"2020042815"</f>
        <v>2020042815</v>
      </c>
      <c r="C5292" s="5">
        <v>0</v>
      </c>
      <c r="D5292" s="6">
        <v>0</v>
      </c>
      <c r="E5292" s="7">
        <f t="shared" si="82"/>
        <v>0</v>
      </c>
      <c r="F5292" s="8" t="s">
        <v>8</v>
      </c>
    </row>
    <row r="5293" spans="1:6" ht="18" customHeight="1">
      <c r="A5293" s="4" t="s">
        <v>177</v>
      </c>
      <c r="B5293" s="4" t="str">
        <f>"2020047125"</f>
        <v>2020047125</v>
      </c>
      <c r="C5293" s="5">
        <v>0</v>
      </c>
      <c r="D5293" s="6">
        <v>0</v>
      </c>
      <c r="E5293" s="7">
        <f t="shared" si="82"/>
        <v>0</v>
      </c>
      <c r="F5293" s="8" t="s">
        <v>8</v>
      </c>
    </row>
    <row r="5294" spans="1:6" ht="18" customHeight="1">
      <c r="A5294" s="4" t="s">
        <v>178</v>
      </c>
      <c r="B5294" s="4" t="str">
        <f>"2020042829"</f>
        <v>2020042829</v>
      </c>
      <c r="C5294" s="5">
        <v>73.599999999999994</v>
      </c>
      <c r="D5294" s="6">
        <v>78.5</v>
      </c>
      <c r="E5294" s="7">
        <f t="shared" si="82"/>
        <v>152.1</v>
      </c>
      <c r="F5294" s="8"/>
    </row>
    <row r="5295" spans="1:6" ht="18" customHeight="1">
      <c r="A5295" s="4" t="s">
        <v>178</v>
      </c>
      <c r="B5295" s="4" t="str">
        <f>"2020046919"</f>
        <v>2020046919</v>
      </c>
      <c r="C5295" s="5">
        <v>69.900000000000006</v>
      </c>
      <c r="D5295" s="6">
        <v>79</v>
      </c>
      <c r="E5295" s="7">
        <f t="shared" si="82"/>
        <v>148.9</v>
      </c>
      <c r="F5295" s="8"/>
    </row>
    <row r="5296" spans="1:6" ht="18" customHeight="1">
      <c r="A5296" s="4" t="s">
        <v>178</v>
      </c>
      <c r="B5296" s="4" t="str">
        <f>"2020042013"</f>
        <v>2020042013</v>
      </c>
      <c r="C5296" s="5">
        <v>69.599999999999994</v>
      </c>
      <c r="D5296" s="6">
        <v>74.5</v>
      </c>
      <c r="E5296" s="7">
        <f t="shared" si="82"/>
        <v>144.1</v>
      </c>
      <c r="F5296" s="8"/>
    </row>
    <row r="5297" spans="1:6" ht="18" customHeight="1">
      <c r="A5297" s="4" t="s">
        <v>178</v>
      </c>
      <c r="B5297" s="4" t="str">
        <f>"2020013923"</f>
        <v>2020013923</v>
      </c>
      <c r="C5297" s="5">
        <v>63.1</v>
      </c>
      <c r="D5297" s="6">
        <v>79.5</v>
      </c>
      <c r="E5297" s="7">
        <f t="shared" si="82"/>
        <v>142.6</v>
      </c>
      <c r="F5297" s="8"/>
    </row>
    <row r="5298" spans="1:6" ht="18" customHeight="1">
      <c r="A5298" s="4" t="s">
        <v>178</v>
      </c>
      <c r="B5298" s="4" t="str">
        <f>"2020032306"</f>
        <v>2020032306</v>
      </c>
      <c r="C5298" s="5">
        <v>74.3</v>
      </c>
      <c r="D5298" s="6">
        <v>66.5</v>
      </c>
      <c r="E5298" s="7">
        <f t="shared" si="82"/>
        <v>140.80000000000001</v>
      </c>
      <c r="F5298" s="8"/>
    </row>
    <row r="5299" spans="1:6" ht="18" customHeight="1">
      <c r="A5299" s="4" t="s">
        <v>178</v>
      </c>
      <c r="B5299" s="4" t="str">
        <f>"2020046506"</f>
        <v>2020046506</v>
      </c>
      <c r="C5299" s="5">
        <v>71.900000000000006</v>
      </c>
      <c r="D5299" s="6">
        <v>67.5</v>
      </c>
      <c r="E5299" s="7">
        <f t="shared" si="82"/>
        <v>139.4</v>
      </c>
      <c r="F5299" s="8"/>
    </row>
    <row r="5300" spans="1:6" ht="18" customHeight="1">
      <c r="A5300" s="4" t="s">
        <v>178</v>
      </c>
      <c r="B5300" s="4" t="str">
        <f>"2020047106"</f>
        <v>2020047106</v>
      </c>
      <c r="C5300" s="5">
        <v>51.9</v>
      </c>
      <c r="D5300" s="6">
        <v>82</v>
      </c>
      <c r="E5300" s="7">
        <f t="shared" si="82"/>
        <v>133.9</v>
      </c>
      <c r="F5300" s="8"/>
    </row>
    <row r="5301" spans="1:6" ht="18" customHeight="1">
      <c r="A5301" s="4" t="s">
        <v>178</v>
      </c>
      <c r="B5301" s="4" t="str">
        <f>"2020020313"</f>
        <v>2020020313</v>
      </c>
      <c r="C5301" s="5">
        <v>68.3</v>
      </c>
      <c r="D5301" s="6">
        <v>65</v>
      </c>
      <c r="E5301" s="7">
        <f t="shared" si="82"/>
        <v>133.30000000000001</v>
      </c>
      <c r="F5301" s="8"/>
    </row>
    <row r="5302" spans="1:6" ht="18" customHeight="1">
      <c r="A5302" s="4" t="s">
        <v>178</v>
      </c>
      <c r="B5302" s="4" t="str">
        <f>"2020042808"</f>
        <v>2020042808</v>
      </c>
      <c r="C5302" s="5">
        <v>63.7</v>
      </c>
      <c r="D5302" s="6">
        <v>67</v>
      </c>
      <c r="E5302" s="7">
        <f t="shared" si="82"/>
        <v>130.69999999999999</v>
      </c>
      <c r="F5302" s="8"/>
    </row>
    <row r="5303" spans="1:6" ht="18" customHeight="1">
      <c r="A5303" s="4" t="s">
        <v>178</v>
      </c>
      <c r="B5303" s="4" t="str">
        <f>"2020013619"</f>
        <v>2020013619</v>
      </c>
      <c r="C5303" s="5">
        <v>68.599999999999994</v>
      </c>
      <c r="D5303" s="6">
        <v>59</v>
      </c>
      <c r="E5303" s="7">
        <f t="shared" si="82"/>
        <v>127.6</v>
      </c>
      <c r="F5303" s="8"/>
    </row>
    <row r="5304" spans="1:6" ht="18" customHeight="1">
      <c r="A5304" s="4" t="s">
        <v>178</v>
      </c>
      <c r="B5304" s="4" t="str">
        <f>"2020022001"</f>
        <v>2020022001</v>
      </c>
      <c r="C5304" s="5">
        <v>63.9</v>
      </c>
      <c r="D5304" s="6">
        <v>61.5</v>
      </c>
      <c r="E5304" s="7">
        <f t="shared" si="82"/>
        <v>125.4</v>
      </c>
      <c r="F5304" s="8"/>
    </row>
    <row r="5305" spans="1:6" ht="18" customHeight="1">
      <c r="A5305" s="4" t="s">
        <v>178</v>
      </c>
      <c r="B5305" s="4" t="str">
        <f>"2020030329"</f>
        <v>2020030329</v>
      </c>
      <c r="C5305" s="5">
        <v>58.6</v>
      </c>
      <c r="D5305" s="6">
        <v>65</v>
      </c>
      <c r="E5305" s="7">
        <f t="shared" si="82"/>
        <v>123.6</v>
      </c>
      <c r="F5305" s="8"/>
    </row>
    <row r="5306" spans="1:6" ht="18" customHeight="1">
      <c r="A5306" s="4" t="s">
        <v>178</v>
      </c>
      <c r="B5306" s="4" t="str">
        <f>"2020011404"</f>
        <v>2020011404</v>
      </c>
      <c r="C5306" s="5">
        <v>61.9</v>
      </c>
      <c r="D5306" s="6">
        <v>60.5</v>
      </c>
      <c r="E5306" s="7">
        <f t="shared" si="82"/>
        <v>122.4</v>
      </c>
      <c r="F5306" s="8"/>
    </row>
    <row r="5307" spans="1:6" ht="18" customHeight="1">
      <c r="A5307" s="4" t="s">
        <v>178</v>
      </c>
      <c r="B5307" s="4" t="str">
        <f>"2020043425"</f>
        <v>2020043425</v>
      </c>
      <c r="C5307" s="5">
        <v>61.5</v>
      </c>
      <c r="D5307" s="6">
        <v>58.5</v>
      </c>
      <c r="E5307" s="7">
        <f t="shared" si="82"/>
        <v>120</v>
      </c>
      <c r="F5307" s="8"/>
    </row>
    <row r="5308" spans="1:6" ht="18" customHeight="1">
      <c r="A5308" s="4" t="s">
        <v>178</v>
      </c>
      <c r="B5308" s="4" t="str">
        <f>"2020041227"</f>
        <v>2020041227</v>
      </c>
      <c r="C5308" s="5">
        <v>64.3</v>
      </c>
      <c r="D5308" s="6">
        <v>53.5</v>
      </c>
      <c r="E5308" s="7">
        <f t="shared" si="82"/>
        <v>117.8</v>
      </c>
      <c r="F5308" s="8"/>
    </row>
    <row r="5309" spans="1:6" ht="18" customHeight="1">
      <c r="A5309" s="4" t="s">
        <v>178</v>
      </c>
      <c r="B5309" s="4" t="str">
        <f>"2020024508"</f>
        <v>2020024508</v>
      </c>
      <c r="C5309" s="5">
        <v>63.2</v>
      </c>
      <c r="D5309" s="6">
        <v>49</v>
      </c>
      <c r="E5309" s="7">
        <f t="shared" si="82"/>
        <v>112.2</v>
      </c>
      <c r="F5309" s="8"/>
    </row>
    <row r="5310" spans="1:6" ht="18" customHeight="1">
      <c r="A5310" s="4" t="s">
        <v>178</v>
      </c>
      <c r="B5310" s="4" t="str">
        <f>"2020023212"</f>
        <v>2020023212</v>
      </c>
      <c r="C5310" s="5">
        <v>0</v>
      </c>
      <c r="D5310" s="6">
        <v>0</v>
      </c>
      <c r="E5310" s="7">
        <f t="shared" si="82"/>
        <v>0</v>
      </c>
      <c r="F5310" s="8" t="s">
        <v>8</v>
      </c>
    </row>
    <row r="5311" spans="1:6" ht="18" customHeight="1">
      <c r="A5311" s="4" t="s">
        <v>178</v>
      </c>
      <c r="B5311" s="4" t="str">
        <f>"2020032108"</f>
        <v>2020032108</v>
      </c>
      <c r="C5311" s="5">
        <v>0</v>
      </c>
      <c r="D5311" s="6">
        <v>0</v>
      </c>
      <c r="E5311" s="7">
        <f t="shared" si="82"/>
        <v>0</v>
      </c>
      <c r="F5311" s="8" t="s">
        <v>8</v>
      </c>
    </row>
    <row r="5312" spans="1:6" ht="18" customHeight="1">
      <c r="A5312" s="4" t="s">
        <v>178</v>
      </c>
      <c r="B5312" s="4" t="str">
        <f>"2020032813"</f>
        <v>2020032813</v>
      </c>
      <c r="C5312" s="5">
        <v>0</v>
      </c>
      <c r="D5312" s="6">
        <v>0</v>
      </c>
      <c r="E5312" s="7">
        <f t="shared" si="82"/>
        <v>0</v>
      </c>
      <c r="F5312" s="8" t="s">
        <v>8</v>
      </c>
    </row>
    <row r="5313" spans="1:6" ht="18" customHeight="1">
      <c r="A5313" s="4" t="s">
        <v>178</v>
      </c>
      <c r="B5313" s="4" t="str">
        <f>"2020047504"</f>
        <v>2020047504</v>
      </c>
      <c r="C5313" s="5">
        <v>0</v>
      </c>
      <c r="D5313" s="6">
        <v>0</v>
      </c>
      <c r="E5313" s="7">
        <f t="shared" si="82"/>
        <v>0</v>
      </c>
      <c r="F5313" s="8" t="s">
        <v>8</v>
      </c>
    </row>
    <row r="5314" spans="1:6" ht="18" customHeight="1">
      <c r="A5314" s="4" t="s">
        <v>179</v>
      </c>
      <c r="B5314" s="4" t="str">
        <f>"2020040207"</f>
        <v>2020040207</v>
      </c>
      <c r="C5314" s="5">
        <v>70.900000000000006</v>
      </c>
      <c r="D5314" s="6">
        <v>78</v>
      </c>
      <c r="E5314" s="7">
        <f t="shared" si="82"/>
        <v>148.9</v>
      </c>
      <c r="F5314" s="8"/>
    </row>
    <row r="5315" spans="1:6" ht="18" customHeight="1">
      <c r="A5315" s="4" t="s">
        <v>179</v>
      </c>
      <c r="B5315" s="4" t="str">
        <f>"2020047114"</f>
        <v>2020047114</v>
      </c>
      <c r="C5315" s="5">
        <v>67</v>
      </c>
      <c r="D5315" s="6">
        <v>81</v>
      </c>
      <c r="E5315" s="7">
        <f t="shared" ref="E5315:E5378" si="83">SUM(C5315:D5315)</f>
        <v>148</v>
      </c>
      <c r="F5315" s="8"/>
    </row>
    <row r="5316" spans="1:6" ht="18" customHeight="1">
      <c r="A5316" s="4" t="s">
        <v>179</v>
      </c>
      <c r="B5316" s="4" t="str">
        <f>"2020040905"</f>
        <v>2020040905</v>
      </c>
      <c r="C5316" s="5">
        <v>65.7</v>
      </c>
      <c r="D5316" s="6">
        <v>63.5</v>
      </c>
      <c r="E5316" s="7">
        <f t="shared" si="83"/>
        <v>129.19999999999999</v>
      </c>
      <c r="F5316" s="8"/>
    </row>
    <row r="5317" spans="1:6" ht="18" customHeight="1">
      <c r="A5317" s="4" t="s">
        <v>179</v>
      </c>
      <c r="B5317" s="4" t="str">
        <f>"2020032611"</f>
        <v>2020032611</v>
      </c>
      <c r="C5317" s="5">
        <v>59.1</v>
      </c>
      <c r="D5317" s="6">
        <v>68</v>
      </c>
      <c r="E5317" s="7">
        <f t="shared" si="83"/>
        <v>127.1</v>
      </c>
      <c r="F5317" s="8"/>
    </row>
    <row r="5318" spans="1:6" ht="18" customHeight="1">
      <c r="A5318" s="4" t="s">
        <v>179</v>
      </c>
      <c r="B5318" s="4" t="str">
        <f>"2020023706"</f>
        <v>2020023706</v>
      </c>
      <c r="C5318" s="5">
        <v>63.8</v>
      </c>
      <c r="D5318" s="6">
        <v>58.5</v>
      </c>
      <c r="E5318" s="7">
        <f t="shared" si="83"/>
        <v>122.3</v>
      </c>
      <c r="F5318" s="8"/>
    </row>
    <row r="5319" spans="1:6" ht="18" customHeight="1">
      <c r="A5319" s="4" t="s">
        <v>179</v>
      </c>
      <c r="B5319" s="4" t="str">
        <f>"2020041419"</f>
        <v>2020041419</v>
      </c>
      <c r="C5319" s="5">
        <v>62.7</v>
      </c>
      <c r="D5319" s="6">
        <v>54</v>
      </c>
      <c r="E5319" s="7">
        <f t="shared" si="83"/>
        <v>116.7</v>
      </c>
      <c r="F5319" s="8"/>
    </row>
    <row r="5320" spans="1:6" ht="18" customHeight="1">
      <c r="A5320" s="4" t="s">
        <v>179</v>
      </c>
      <c r="B5320" s="4" t="str">
        <f>"2020020715"</f>
        <v>2020020715</v>
      </c>
      <c r="C5320" s="5">
        <v>0</v>
      </c>
      <c r="D5320" s="6">
        <v>0</v>
      </c>
      <c r="E5320" s="7">
        <f t="shared" si="83"/>
        <v>0</v>
      </c>
      <c r="F5320" s="8" t="s">
        <v>8</v>
      </c>
    </row>
    <row r="5321" spans="1:6" ht="18" customHeight="1">
      <c r="A5321" s="4" t="s">
        <v>180</v>
      </c>
      <c r="B5321" s="4" t="str">
        <f>"2020013820"</f>
        <v>2020013820</v>
      </c>
      <c r="C5321" s="5">
        <v>62.1</v>
      </c>
      <c r="D5321" s="6">
        <v>76.5</v>
      </c>
      <c r="E5321" s="7">
        <f t="shared" si="83"/>
        <v>138.6</v>
      </c>
      <c r="F5321" s="8"/>
    </row>
    <row r="5322" spans="1:6" ht="18" customHeight="1">
      <c r="A5322" s="4" t="s">
        <v>180</v>
      </c>
      <c r="B5322" s="4" t="str">
        <f>"2020044525"</f>
        <v>2020044525</v>
      </c>
      <c r="C5322" s="5">
        <v>60.3</v>
      </c>
      <c r="D5322" s="6">
        <v>74.5</v>
      </c>
      <c r="E5322" s="7">
        <f t="shared" si="83"/>
        <v>134.80000000000001</v>
      </c>
      <c r="F5322" s="8"/>
    </row>
    <row r="5323" spans="1:6" ht="18" customHeight="1">
      <c r="A5323" s="4" t="s">
        <v>180</v>
      </c>
      <c r="B5323" s="4" t="str">
        <f>"2020010110"</f>
        <v>2020010110</v>
      </c>
      <c r="C5323" s="5">
        <v>67.2</v>
      </c>
      <c r="D5323" s="6">
        <v>66</v>
      </c>
      <c r="E5323" s="7">
        <f t="shared" si="83"/>
        <v>133.19999999999999</v>
      </c>
      <c r="F5323" s="8"/>
    </row>
    <row r="5324" spans="1:6" ht="18" customHeight="1">
      <c r="A5324" s="4" t="s">
        <v>180</v>
      </c>
      <c r="B5324" s="4" t="str">
        <f>"2020031320"</f>
        <v>2020031320</v>
      </c>
      <c r="C5324" s="5">
        <v>68.400000000000006</v>
      </c>
      <c r="D5324" s="6">
        <v>61</v>
      </c>
      <c r="E5324" s="7">
        <f t="shared" si="83"/>
        <v>129.4</v>
      </c>
      <c r="F5324" s="8"/>
    </row>
    <row r="5325" spans="1:6" ht="18" customHeight="1">
      <c r="A5325" s="4" t="s">
        <v>180</v>
      </c>
      <c r="B5325" s="4" t="str">
        <f>"2020046605"</f>
        <v>2020046605</v>
      </c>
      <c r="C5325" s="5">
        <v>65.3</v>
      </c>
      <c r="D5325" s="6">
        <v>62</v>
      </c>
      <c r="E5325" s="7">
        <f t="shared" si="83"/>
        <v>127.3</v>
      </c>
      <c r="F5325" s="8"/>
    </row>
    <row r="5326" spans="1:6" ht="18" customHeight="1">
      <c r="A5326" s="4" t="s">
        <v>180</v>
      </c>
      <c r="B5326" s="4" t="str">
        <f>"2020023514"</f>
        <v>2020023514</v>
      </c>
      <c r="C5326" s="5">
        <v>60.7</v>
      </c>
      <c r="D5326" s="6">
        <v>63.5</v>
      </c>
      <c r="E5326" s="7">
        <f t="shared" si="83"/>
        <v>124.2</v>
      </c>
      <c r="F5326" s="8"/>
    </row>
    <row r="5327" spans="1:6" ht="18" customHeight="1">
      <c r="A5327" s="4" t="s">
        <v>180</v>
      </c>
      <c r="B5327" s="4" t="str">
        <f>"2020040913"</f>
        <v>2020040913</v>
      </c>
      <c r="C5327" s="5">
        <v>65.5</v>
      </c>
      <c r="D5327" s="6">
        <v>58.5</v>
      </c>
      <c r="E5327" s="7">
        <f t="shared" si="83"/>
        <v>124</v>
      </c>
      <c r="F5327" s="8"/>
    </row>
    <row r="5328" spans="1:6" ht="18" customHeight="1">
      <c r="A5328" s="4" t="s">
        <v>180</v>
      </c>
      <c r="B5328" s="4" t="str">
        <f>"2020033326"</f>
        <v>2020033326</v>
      </c>
      <c r="C5328" s="5">
        <v>60.8</v>
      </c>
      <c r="D5328" s="6">
        <v>63</v>
      </c>
      <c r="E5328" s="7">
        <f t="shared" si="83"/>
        <v>123.8</v>
      </c>
      <c r="F5328" s="8"/>
    </row>
    <row r="5329" spans="1:6" ht="18" customHeight="1">
      <c r="A5329" s="4" t="s">
        <v>180</v>
      </c>
      <c r="B5329" s="4" t="str">
        <f>"2020011518"</f>
        <v>2020011518</v>
      </c>
      <c r="C5329" s="5">
        <v>66.599999999999994</v>
      </c>
      <c r="D5329" s="6">
        <v>57</v>
      </c>
      <c r="E5329" s="7">
        <f t="shared" si="83"/>
        <v>123.6</v>
      </c>
      <c r="F5329" s="8"/>
    </row>
    <row r="5330" spans="1:6" ht="18" customHeight="1">
      <c r="A5330" s="4" t="s">
        <v>180</v>
      </c>
      <c r="B5330" s="4" t="str">
        <f>"2020047306"</f>
        <v>2020047306</v>
      </c>
      <c r="C5330" s="5">
        <v>73.3</v>
      </c>
      <c r="D5330" s="6">
        <v>50</v>
      </c>
      <c r="E5330" s="7">
        <f t="shared" si="83"/>
        <v>123.3</v>
      </c>
      <c r="F5330" s="8"/>
    </row>
    <row r="5331" spans="1:6" ht="18" customHeight="1">
      <c r="A5331" s="4" t="s">
        <v>180</v>
      </c>
      <c r="B5331" s="4" t="str">
        <f>"2020022914"</f>
        <v>2020022914</v>
      </c>
      <c r="C5331" s="5">
        <v>73.5</v>
      </c>
      <c r="D5331" s="6">
        <v>49</v>
      </c>
      <c r="E5331" s="7">
        <f t="shared" si="83"/>
        <v>122.5</v>
      </c>
      <c r="F5331" s="8"/>
    </row>
    <row r="5332" spans="1:6" ht="18" customHeight="1">
      <c r="A5332" s="4" t="s">
        <v>180</v>
      </c>
      <c r="B5332" s="4" t="str">
        <f>"2020040326"</f>
        <v>2020040326</v>
      </c>
      <c r="C5332" s="5">
        <v>59</v>
      </c>
      <c r="D5332" s="6">
        <v>63.5</v>
      </c>
      <c r="E5332" s="7">
        <f t="shared" si="83"/>
        <v>122.5</v>
      </c>
      <c r="F5332" s="8"/>
    </row>
    <row r="5333" spans="1:6" ht="18" customHeight="1">
      <c r="A5333" s="4" t="s">
        <v>180</v>
      </c>
      <c r="B5333" s="4" t="str">
        <f>"2020045924"</f>
        <v>2020045924</v>
      </c>
      <c r="C5333" s="5">
        <v>68.400000000000006</v>
      </c>
      <c r="D5333" s="6">
        <v>54</v>
      </c>
      <c r="E5333" s="7">
        <f t="shared" si="83"/>
        <v>122.4</v>
      </c>
      <c r="F5333" s="8"/>
    </row>
    <row r="5334" spans="1:6" ht="18" customHeight="1">
      <c r="A5334" s="4" t="s">
        <v>180</v>
      </c>
      <c r="B5334" s="4" t="str">
        <f>"2020043610"</f>
        <v>2020043610</v>
      </c>
      <c r="C5334" s="5">
        <v>66.2</v>
      </c>
      <c r="D5334" s="6">
        <v>54.5</v>
      </c>
      <c r="E5334" s="7">
        <f t="shared" si="83"/>
        <v>120.7</v>
      </c>
      <c r="F5334" s="8"/>
    </row>
    <row r="5335" spans="1:6" ht="18" customHeight="1">
      <c r="A5335" s="4" t="s">
        <v>180</v>
      </c>
      <c r="B5335" s="4" t="str">
        <f>"2020010913"</f>
        <v>2020010913</v>
      </c>
      <c r="C5335" s="5">
        <v>63</v>
      </c>
      <c r="D5335" s="6">
        <v>55.5</v>
      </c>
      <c r="E5335" s="7">
        <f t="shared" si="83"/>
        <v>118.5</v>
      </c>
      <c r="F5335" s="8"/>
    </row>
    <row r="5336" spans="1:6" ht="18" customHeight="1">
      <c r="A5336" s="4" t="s">
        <v>180</v>
      </c>
      <c r="B5336" s="4" t="str">
        <f>"2020022214"</f>
        <v>2020022214</v>
      </c>
      <c r="C5336" s="5">
        <v>55.3</v>
      </c>
      <c r="D5336" s="6">
        <v>62.5</v>
      </c>
      <c r="E5336" s="7">
        <f t="shared" si="83"/>
        <v>117.8</v>
      </c>
      <c r="F5336" s="8"/>
    </row>
    <row r="5337" spans="1:6" ht="18" customHeight="1">
      <c r="A5337" s="4" t="s">
        <v>180</v>
      </c>
      <c r="B5337" s="4" t="str">
        <f>"2020024128"</f>
        <v>2020024128</v>
      </c>
      <c r="C5337" s="5">
        <v>59.2</v>
      </c>
      <c r="D5337" s="6">
        <v>58.5</v>
      </c>
      <c r="E5337" s="7">
        <f t="shared" si="83"/>
        <v>117.7</v>
      </c>
      <c r="F5337" s="8"/>
    </row>
    <row r="5338" spans="1:6" ht="18" customHeight="1">
      <c r="A5338" s="4" t="s">
        <v>180</v>
      </c>
      <c r="B5338" s="4" t="str">
        <f>"2020013511"</f>
        <v>2020013511</v>
      </c>
      <c r="C5338" s="5">
        <v>64</v>
      </c>
      <c r="D5338" s="6">
        <v>52.5</v>
      </c>
      <c r="E5338" s="7">
        <f t="shared" si="83"/>
        <v>116.5</v>
      </c>
      <c r="F5338" s="8"/>
    </row>
    <row r="5339" spans="1:6" ht="18" customHeight="1">
      <c r="A5339" s="4" t="s">
        <v>180</v>
      </c>
      <c r="B5339" s="4" t="str">
        <f>"2020031316"</f>
        <v>2020031316</v>
      </c>
      <c r="C5339" s="5">
        <v>53.7</v>
      </c>
      <c r="D5339" s="6">
        <v>62.5</v>
      </c>
      <c r="E5339" s="7">
        <f t="shared" si="83"/>
        <v>116.2</v>
      </c>
      <c r="F5339" s="8"/>
    </row>
    <row r="5340" spans="1:6" ht="18" customHeight="1">
      <c r="A5340" s="4" t="s">
        <v>180</v>
      </c>
      <c r="B5340" s="4" t="str">
        <f>"2020033603"</f>
        <v>2020033603</v>
      </c>
      <c r="C5340" s="5">
        <v>54.6</v>
      </c>
      <c r="D5340" s="6">
        <v>60</v>
      </c>
      <c r="E5340" s="7">
        <f t="shared" si="83"/>
        <v>114.6</v>
      </c>
      <c r="F5340" s="8"/>
    </row>
    <row r="5341" spans="1:6" ht="18" customHeight="1">
      <c r="A5341" s="4" t="s">
        <v>180</v>
      </c>
      <c r="B5341" s="4" t="str">
        <f>"2020033205"</f>
        <v>2020033205</v>
      </c>
      <c r="C5341" s="5">
        <v>51</v>
      </c>
      <c r="D5341" s="6">
        <v>63.5</v>
      </c>
      <c r="E5341" s="7">
        <f t="shared" si="83"/>
        <v>114.5</v>
      </c>
      <c r="F5341" s="8"/>
    </row>
    <row r="5342" spans="1:6" ht="18" customHeight="1">
      <c r="A5342" s="4" t="s">
        <v>180</v>
      </c>
      <c r="B5342" s="4" t="str">
        <f>"2020010908"</f>
        <v>2020010908</v>
      </c>
      <c r="C5342" s="5">
        <v>56.3</v>
      </c>
      <c r="D5342" s="6">
        <v>47.5</v>
      </c>
      <c r="E5342" s="7">
        <f t="shared" si="83"/>
        <v>103.8</v>
      </c>
      <c r="F5342" s="8"/>
    </row>
    <row r="5343" spans="1:6" ht="18" customHeight="1">
      <c r="A5343" s="4" t="s">
        <v>180</v>
      </c>
      <c r="B5343" s="4" t="str">
        <f>"2020040821"</f>
        <v>2020040821</v>
      </c>
      <c r="C5343" s="5">
        <v>53</v>
      </c>
      <c r="D5343" s="6">
        <v>49</v>
      </c>
      <c r="E5343" s="7">
        <f t="shared" si="83"/>
        <v>102</v>
      </c>
      <c r="F5343" s="8"/>
    </row>
    <row r="5344" spans="1:6" ht="18" customHeight="1">
      <c r="A5344" s="4" t="s">
        <v>180</v>
      </c>
      <c r="B5344" s="4" t="str">
        <f>"2020024805"</f>
        <v>2020024805</v>
      </c>
      <c r="C5344" s="5">
        <v>57.9</v>
      </c>
      <c r="D5344" s="6">
        <v>43.5</v>
      </c>
      <c r="E5344" s="7">
        <f t="shared" si="83"/>
        <v>101.4</v>
      </c>
      <c r="F5344" s="8"/>
    </row>
    <row r="5345" spans="1:6" ht="18" customHeight="1">
      <c r="A5345" s="4" t="s">
        <v>180</v>
      </c>
      <c r="B5345" s="4" t="str">
        <f>"2020012520"</f>
        <v>2020012520</v>
      </c>
      <c r="C5345" s="5">
        <v>54.1</v>
      </c>
      <c r="D5345" s="6">
        <v>46</v>
      </c>
      <c r="E5345" s="7">
        <f t="shared" si="83"/>
        <v>100.1</v>
      </c>
      <c r="F5345" s="8"/>
    </row>
    <row r="5346" spans="1:6" ht="18" customHeight="1">
      <c r="A5346" s="4" t="s">
        <v>180</v>
      </c>
      <c r="B5346" s="4" t="str">
        <f>"2020031809"</f>
        <v>2020031809</v>
      </c>
      <c r="C5346" s="5">
        <v>56.7</v>
      </c>
      <c r="D5346" s="6">
        <v>43</v>
      </c>
      <c r="E5346" s="7">
        <f t="shared" si="83"/>
        <v>99.7</v>
      </c>
      <c r="F5346" s="8"/>
    </row>
    <row r="5347" spans="1:6" ht="18" customHeight="1">
      <c r="A5347" s="4" t="s">
        <v>180</v>
      </c>
      <c r="B5347" s="4" t="str">
        <f>"2020044926"</f>
        <v>2020044926</v>
      </c>
      <c r="C5347" s="5">
        <v>52.1</v>
      </c>
      <c r="D5347" s="6">
        <v>47.5</v>
      </c>
      <c r="E5347" s="7">
        <f t="shared" si="83"/>
        <v>99.6</v>
      </c>
      <c r="F5347" s="8"/>
    </row>
    <row r="5348" spans="1:6" ht="18" customHeight="1">
      <c r="A5348" s="4" t="s">
        <v>180</v>
      </c>
      <c r="B5348" s="4" t="str">
        <f>"2020043127"</f>
        <v>2020043127</v>
      </c>
      <c r="C5348" s="5">
        <v>47.1</v>
      </c>
      <c r="D5348" s="6">
        <v>52.5</v>
      </c>
      <c r="E5348" s="7">
        <f t="shared" si="83"/>
        <v>99.6</v>
      </c>
      <c r="F5348" s="8"/>
    </row>
    <row r="5349" spans="1:6" ht="18" customHeight="1">
      <c r="A5349" s="4" t="s">
        <v>180</v>
      </c>
      <c r="B5349" s="4" t="str">
        <f>"2020011127"</f>
        <v>2020011127</v>
      </c>
      <c r="C5349" s="5">
        <v>0</v>
      </c>
      <c r="D5349" s="6">
        <v>0</v>
      </c>
      <c r="E5349" s="7">
        <f t="shared" si="83"/>
        <v>0</v>
      </c>
      <c r="F5349" s="9" t="s">
        <v>8</v>
      </c>
    </row>
    <row r="5350" spans="1:6" ht="18" customHeight="1">
      <c r="A5350" s="4" t="s">
        <v>180</v>
      </c>
      <c r="B5350" s="4" t="str">
        <f>"2020021728"</f>
        <v>2020021728</v>
      </c>
      <c r="C5350" s="5">
        <v>0</v>
      </c>
      <c r="D5350" s="6">
        <v>0</v>
      </c>
      <c r="E5350" s="7">
        <f t="shared" si="83"/>
        <v>0</v>
      </c>
      <c r="F5350" s="8" t="s">
        <v>8</v>
      </c>
    </row>
    <row r="5351" spans="1:6" ht="18" customHeight="1">
      <c r="A5351" s="4" t="s">
        <v>180</v>
      </c>
      <c r="B5351" s="4" t="str">
        <f>"2020023710"</f>
        <v>2020023710</v>
      </c>
      <c r="C5351" s="5">
        <v>0</v>
      </c>
      <c r="D5351" s="6">
        <v>0</v>
      </c>
      <c r="E5351" s="7">
        <f t="shared" si="83"/>
        <v>0</v>
      </c>
      <c r="F5351" s="8" t="s">
        <v>8</v>
      </c>
    </row>
    <row r="5352" spans="1:6" ht="18" customHeight="1">
      <c r="A5352" s="4" t="s">
        <v>180</v>
      </c>
      <c r="B5352" s="4" t="str">
        <f>"2020044021"</f>
        <v>2020044021</v>
      </c>
      <c r="C5352" s="5">
        <v>0</v>
      </c>
      <c r="D5352" s="6">
        <v>0</v>
      </c>
      <c r="E5352" s="7">
        <f t="shared" si="83"/>
        <v>0</v>
      </c>
      <c r="F5352" s="8" t="s">
        <v>8</v>
      </c>
    </row>
    <row r="5353" spans="1:6" ht="18" customHeight="1">
      <c r="A5353" s="4" t="s">
        <v>180</v>
      </c>
      <c r="B5353" s="4" t="str">
        <f>"2020046806"</f>
        <v>2020046806</v>
      </c>
      <c r="C5353" s="5">
        <v>0</v>
      </c>
      <c r="D5353" s="6">
        <v>0</v>
      </c>
      <c r="E5353" s="7">
        <f t="shared" si="83"/>
        <v>0</v>
      </c>
      <c r="F5353" s="8" t="s">
        <v>8</v>
      </c>
    </row>
    <row r="5354" spans="1:6" ht="18" customHeight="1">
      <c r="A5354" s="4" t="s">
        <v>181</v>
      </c>
      <c r="B5354" s="4" t="str">
        <f>"2020021123"</f>
        <v>2020021123</v>
      </c>
      <c r="C5354" s="5">
        <v>68.5</v>
      </c>
      <c r="D5354" s="6">
        <v>75</v>
      </c>
      <c r="E5354" s="7">
        <f t="shared" si="83"/>
        <v>143.5</v>
      </c>
      <c r="F5354" s="8"/>
    </row>
    <row r="5355" spans="1:6" ht="18" customHeight="1">
      <c r="A5355" s="4" t="s">
        <v>181</v>
      </c>
      <c r="B5355" s="4" t="str">
        <f>"2020044010"</f>
        <v>2020044010</v>
      </c>
      <c r="C5355" s="5">
        <v>68.900000000000006</v>
      </c>
      <c r="D5355" s="6">
        <v>68.5</v>
      </c>
      <c r="E5355" s="7">
        <f t="shared" si="83"/>
        <v>137.4</v>
      </c>
      <c r="F5355" s="8"/>
    </row>
    <row r="5356" spans="1:6" ht="18" customHeight="1">
      <c r="A5356" s="4" t="s">
        <v>181</v>
      </c>
      <c r="B5356" s="4" t="str">
        <f>"2020023902"</f>
        <v>2020023902</v>
      </c>
      <c r="C5356" s="5">
        <v>64.400000000000006</v>
      </c>
      <c r="D5356" s="6">
        <v>69</v>
      </c>
      <c r="E5356" s="7">
        <f t="shared" si="83"/>
        <v>133.4</v>
      </c>
      <c r="F5356" s="8"/>
    </row>
    <row r="5357" spans="1:6" ht="18" customHeight="1">
      <c r="A5357" s="4" t="s">
        <v>181</v>
      </c>
      <c r="B5357" s="4" t="str">
        <f>"2020024120"</f>
        <v>2020024120</v>
      </c>
      <c r="C5357" s="5">
        <v>60.1</v>
      </c>
      <c r="D5357" s="6">
        <v>70</v>
      </c>
      <c r="E5357" s="7">
        <f t="shared" si="83"/>
        <v>130.1</v>
      </c>
      <c r="F5357" s="8"/>
    </row>
    <row r="5358" spans="1:6" ht="18" customHeight="1">
      <c r="A5358" s="4" t="s">
        <v>181</v>
      </c>
      <c r="B5358" s="4" t="str">
        <f>"2020043713"</f>
        <v>2020043713</v>
      </c>
      <c r="C5358" s="5">
        <v>66</v>
      </c>
      <c r="D5358" s="6">
        <v>60.5</v>
      </c>
      <c r="E5358" s="7">
        <f t="shared" si="83"/>
        <v>126.5</v>
      </c>
      <c r="F5358" s="8"/>
    </row>
    <row r="5359" spans="1:6" ht="18" customHeight="1">
      <c r="A5359" s="4" t="s">
        <v>181</v>
      </c>
      <c r="B5359" s="4" t="str">
        <f>"2020047326"</f>
        <v>2020047326</v>
      </c>
      <c r="C5359" s="5">
        <v>59.4</v>
      </c>
      <c r="D5359" s="6">
        <v>66</v>
      </c>
      <c r="E5359" s="7">
        <f t="shared" si="83"/>
        <v>125.4</v>
      </c>
      <c r="F5359" s="8"/>
    </row>
    <row r="5360" spans="1:6" ht="18" customHeight="1">
      <c r="A5360" s="4" t="s">
        <v>181</v>
      </c>
      <c r="B5360" s="4" t="str">
        <f>"2020041907"</f>
        <v>2020041907</v>
      </c>
      <c r="C5360" s="5">
        <v>65.3</v>
      </c>
      <c r="D5360" s="6">
        <v>59</v>
      </c>
      <c r="E5360" s="7">
        <f t="shared" si="83"/>
        <v>124.3</v>
      </c>
      <c r="F5360" s="8"/>
    </row>
    <row r="5361" spans="1:6" ht="18" customHeight="1">
      <c r="A5361" s="4" t="s">
        <v>181</v>
      </c>
      <c r="B5361" s="4" t="str">
        <f>"2020045520"</f>
        <v>2020045520</v>
      </c>
      <c r="C5361" s="5">
        <v>64.7</v>
      </c>
      <c r="D5361" s="6">
        <v>59.5</v>
      </c>
      <c r="E5361" s="7">
        <f t="shared" si="83"/>
        <v>124.2</v>
      </c>
      <c r="F5361" s="8"/>
    </row>
    <row r="5362" spans="1:6" ht="18" customHeight="1">
      <c r="A5362" s="4" t="s">
        <v>181</v>
      </c>
      <c r="B5362" s="4" t="str">
        <f>"2020021013"</f>
        <v>2020021013</v>
      </c>
      <c r="C5362" s="5">
        <v>63.7</v>
      </c>
      <c r="D5362" s="6">
        <v>56.5</v>
      </c>
      <c r="E5362" s="7">
        <f t="shared" si="83"/>
        <v>120.2</v>
      </c>
      <c r="F5362" s="8"/>
    </row>
    <row r="5363" spans="1:6" ht="18" customHeight="1">
      <c r="A5363" s="4" t="s">
        <v>181</v>
      </c>
      <c r="B5363" s="4" t="str">
        <f>"2020042703"</f>
        <v>2020042703</v>
      </c>
      <c r="C5363" s="5">
        <v>60.4</v>
      </c>
      <c r="D5363" s="6">
        <v>57.5</v>
      </c>
      <c r="E5363" s="7">
        <f t="shared" si="83"/>
        <v>117.9</v>
      </c>
      <c r="F5363" s="8"/>
    </row>
    <row r="5364" spans="1:6" ht="18" customHeight="1">
      <c r="A5364" s="4" t="s">
        <v>181</v>
      </c>
      <c r="B5364" s="4" t="str">
        <f>"2020024417"</f>
        <v>2020024417</v>
      </c>
      <c r="C5364" s="5">
        <v>61.5</v>
      </c>
      <c r="D5364" s="6">
        <v>51.5</v>
      </c>
      <c r="E5364" s="7">
        <f t="shared" si="83"/>
        <v>113</v>
      </c>
      <c r="F5364" s="8"/>
    </row>
    <row r="5365" spans="1:6" ht="18" customHeight="1">
      <c r="A5365" s="4" t="s">
        <v>181</v>
      </c>
      <c r="B5365" s="4" t="str">
        <f>"2020013617"</f>
        <v>2020013617</v>
      </c>
      <c r="C5365" s="5">
        <v>56.8</v>
      </c>
      <c r="D5365" s="6">
        <v>55</v>
      </c>
      <c r="E5365" s="7">
        <f t="shared" si="83"/>
        <v>111.8</v>
      </c>
      <c r="F5365" s="8"/>
    </row>
    <row r="5366" spans="1:6" ht="18" customHeight="1">
      <c r="A5366" s="4" t="s">
        <v>181</v>
      </c>
      <c r="B5366" s="4" t="str">
        <f>"2020033518"</f>
        <v>2020033518</v>
      </c>
      <c r="C5366" s="5">
        <v>59.2</v>
      </c>
      <c r="D5366" s="6">
        <v>51.5</v>
      </c>
      <c r="E5366" s="7">
        <f t="shared" si="83"/>
        <v>110.7</v>
      </c>
      <c r="F5366" s="8"/>
    </row>
    <row r="5367" spans="1:6" ht="18" customHeight="1">
      <c r="A5367" s="4" t="s">
        <v>181</v>
      </c>
      <c r="B5367" s="4" t="str">
        <f>"2020024211"</f>
        <v>2020024211</v>
      </c>
      <c r="C5367" s="5">
        <v>52.6</v>
      </c>
      <c r="D5367" s="6">
        <v>58</v>
      </c>
      <c r="E5367" s="7">
        <f t="shared" si="83"/>
        <v>110.6</v>
      </c>
      <c r="F5367" s="8"/>
    </row>
    <row r="5368" spans="1:6" ht="18" customHeight="1">
      <c r="A5368" s="4" t="s">
        <v>181</v>
      </c>
      <c r="B5368" s="4" t="str">
        <f>"2020045123"</f>
        <v>2020045123</v>
      </c>
      <c r="C5368" s="5">
        <v>58.1</v>
      </c>
      <c r="D5368" s="6">
        <v>52</v>
      </c>
      <c r="E5368" s="7">
        <f t="shared" si="83"/>
        <v>110.1</v>
      </c>
      <c r="F5368" s="8"/>
    </row>
    <row r="5369" spans="1:6" ht="18" customHeight="1">
      <c r="A5369" s="4" t="s">
        <v>181</v>
      </c>
      <c r="B5369" s="4" t="str">
        <f>"2020043621"</f>
        <v>2020043621</v>
      </c>
      <c r="C5369" s="5">
        <v>57.8</v>
      </c>
      <c r="D5369" s="6">
        <v>50.5</v>
      </c>
      <c r="E5369" s="7">
        <f t="shared" si="83"/>
        <v>108.3</v>
      </c>
      <c r="F5369" s="8"/>
    </row>
    <row r="5370" spans="1:6" ht="18" customHeight="1">
      <c r="A5370" s="4" t="s">
        <v>181</v>
      </c>
      <c r="B5370" s="4" t="str">
        <f>"2020021926"</f>
        <v>2020021926</v>
      </c>
      <c r="C5370" s="5">
        <v>55</v>
      </c>
      <c r="D5370" s="6">
        <v>52.5</v>
      </c>
      <c r="E5370" s="7">
        <f t="shared" si="83"/>
        <v>107.5</v>
      </c>
      <c r="F5370" s="8"/>
    </row>
    <row r="5371" spans="1:6" ht="18" customHeight="1">
      <c r="A5371" s="4" t="s">
        <v>181</v>
      </c>
      <c r="B5371" s="4" t="str">
        <f>"2020032911"</f>
        <v>2020032911</v>
      </c>
      <c r="C5371" s="5">
        <v>50.1</v>
      </c>
      <c r="D5371" s="6">
        <v>49.5</v>
      </c>
      <c r="E5371" s="7">
        <f t="shared" si="83"/>
        <v>99.6</v>
      </c>
      <c r="F5371" s="8"/>
    </row>
    <row r="5372" spans="1:6" ht="18" customHeight="1">
      <c r="A5372" s="4" t="s">
        <v>181</v>
      </c>
      <c r="B5372" s="4" t="str">
        <f>"2020033509"</f>
        <v>2020033509</v>
      </c>
      <c r="C5372" s="5">
        <v>45.9</v>
      </c>
      <c r="D5372" s="6">
        <v>53</v>
      </c>
      <c r="E5372" s="7">
        <f t="shared" si="83"/>
        <v>98.9</v>
      </c>
      <c r="F5372" s="8"/>
    </row>
    <row r="5373" spans="1:6" ht="18" customHeight="1">
      <c r="A5373" s="4" t="s">
        <v>181</v>
      </c>
      <c r="B5373" s="4" t="str">
        <f>"2020012424"</f>
        <v>2020012424</v>
      </c>
      <c r="C5373" s="5">
        <v>0</v>
      </c>
      <c r="D5373" s="6">
        <v>0</v>
      </c>
      <c r="E5373" s="7">
        <f t="shared" si="83"/>
        <v>0</v>
      </c>
      <c r="F5373" s="9" t="s">
        <v>8</v>
      </c>
    </row>
    <row r="5374" spans="1:6" ht="18" customHeight="1">
      <c r="A5374" s="4" t="s">
        <v>181</v>
      </c>
      <c r="B5374" s="4" t="str">
        <f>"2020022702"</f>
        <v>2020022702</v>
      </c>
      <c r="C5374" s="5">
        <v>0</v>
      </c>
      <c r="D5374" s="6">
        <v>0</v>
      </c>
      <c r="E5374" s="7">
        <f t="shared" si="83"/>
        <v>0</v>
      </c>
      <c r="F5374" s="8" t="s">
        <v>8</v>
      </c>
    </row>
    <row r="5375" spans="1:6" ht="18" customHeight="1">
      <c r="A5375" s="4" t="s">
        <v>181</v>
      </c>
      <c r="B5375" s="4" t="str">
        <f>"2020041912"</f>
        <v>2020041912</v>
      </c>
      <c r="C5375" s="5">
        <v>0</v>
      </c>
      <c r="D5375" s="6">
        <v>0</v>
      </c>
      <c r="E5375" s="7">
        <f t="shared" si="83"/>
        <v>0</v>
      </c>
      <c r="F5375" s="8" t="s">
        <v>8</v>
      </c>
    </row>
    <row r="5376" spans="1:6" ht="18" customHeight="1">
      <c r="A5376" s="4" t="s">
        <v>181</v>
      </c>
      <c r="B5376" s="4" t="str">
        <f>"2020042611"</f>
        <v>2020042611</v>
      </c>
      <c r="C5376" s="5">
        <v>0</v>
      </c>
      <c r="D5376" s="6">
        <v>0</v>
      </c>
      <c r="E5376" s="7">
        <f t="shared" si="83"/>
        <v>0</v>
      </c>
      <c r="F5376" s="8" t="s">
        <v>8</v>
      </c>
    </row>
    <row r="5377" spans="1:6" ht="18" customHeight="1">
      <c r="A5377" s="4" t="s">
        <v>181</v>
      </c>
      <c r="B5377" s="4" t="str">
        <f>"2020043308"</f>
        <v>2020043308</v>
      </c>
      <c r="C5377" s="5">
        <v>0</v>
      </c>
      <c r="D5377" s="6">
        <v>0</v>
      </c>
      <c r="E5377" s="7">
        <f t="shared" si="83"/>
        <v>0</v>
      </c>
      <c r="F5377" s="8" t="s">
        <v>8</v>
      </c>
    </row>
    <row r="5378" spans="1:6" ht="18" customHeight="1">
      <c r="A5378" s="4" t="s">
        <v>182</v>
      </c>
      <c r="B5378" s="4" t="str">
        <f>"2020012626"</f>
        <v>2020012626</v>
      </c>
      <c r="C5378" s="5">
        <v>65</v>
      </c>
      <c r="D5378" s="6">
        <v>89.5</v>
      </c>
      <c r="E5378" s="7">
        <f t="shared" si="83"/>
        <v>154.5</v>
      </c>
      <c r="F5378" s="8"/>
    </row>
    <row r="5379" spans="1:6" ht="18" customHeight="1">
      <c r="A5379" s="4" t="s">
        <v>182</v>
      </c>
      <c r="B5379" s="4" t="str">
        <f>"2020022216"</f>
        <v>2020022216</v>
      </c>
      <c r="C5379" s="5">
        <v>71.599999999999994</v>
      </c>
      <c r="D5379" s="6">
        <v>77.5</v>
      </c>
      <c r="E5379" s="7">
        <f t="shared" ref="E5379:E5442" si="84">SUM(C5379:D5379)</f>
        <v>149.1</v>
      </c>
      <c r="F5379" s="8"/>
    </row>
    <row r="5380" spans="1:6" ht="18" customHeight="1">
      <c r="A5380" s="4" t="s">
        <v>182</v>
      </c>
      <c r="B5380" s="4" t="str">
        <f>"2020033324"</f>
        <v>2020033324</v>
      </c>
      <c r="C5380" s="5">
        <v>69.400000000000006</v>
      </c>
      <c r="D5380" s="6">
        <v>78</v>
      </c>
      <c r="E5380" s="7">
        <f t="shared" si="84"/>
        <v>147.4</v>
      </c>
      <c r="F5380" s="8"/>
    </row>
    <row r="5381" spans="1:6" ht="18" customHeight="1">
      <c r="A5381" s="4" t="s">
        <v>182</v>
      </c>
      <c r="B5381" s="4" t="str">
        <f>"2020046318"</f>
        <v>2020046318</v>
      </c>
      <c r="C5381" s="5">
        <v>75.400000000000006</v>
      </c>
      <c r="D5381" s="6">
        <v>66</v>
      </c>
      <c r="E5381" s="7">
        <f t="shared" si="84"/>
        <v>141.4</v>
      </c>
      <c r="F5381" s="8"/>
    </row>
    <row r="5382" spans="1:6" ht="18" customHeight="1">
      <c r="A5382" s="4" t="s">
        <v>182</v>
      </c>
      <c r="B5382" s="4" t="str">
        <f>"2020047229"</f>
        <v>2020047229</v>
      </c>
      <c r="C5382" s="5">
        <v>61.2</v>
      </c>
      <c r="D5382" s="6">
        <v>78.5</v>
      </c>
      <c r="E5382" s="7">
        <f t="shared" si="84"/>
        <v>139.69999999999999</v>
      </c>
      <c r="F5382" s="8"/>
    </row>
    <row r="5383" spans="1:6" ht="18" customHeight="1">
      <c r="A5383" s="4" t="s">
        <v>182</v>
      </c>
      <c r="B5383" s="4" t="str">
        <f>"2020045721"</f>
        <v>2020045721</v>
      </c>
      <c r="C5383" s="5">
        <v>70.599999999999994</v>
      </c>
      <c r="D5383" s="6">
        <v>67.5</v>
      </c>
      <c r="E5383" s="7">
        <f t="shared" si="84"/>
        <v>138.1</v>
      </c>
      <c r="F5383" s="8"/>
    </row>
    <row r="5384" spans="1:6" ht="18" customHeight="1">
      <c r="A5384" s="4" t="s">
        <v>182</v>
      </c>
      <c r="B5384" s="4" t="str">
        <f>"2020044504"</f>
        <v>2020044504</v>
      </c>
      <c r="C5384" s="5">
        <v>68.599999999999994</v>
      </c>
      <c r="D5384" s="6">
        <v>69.5</v>
      </c>
      <c r="E5384" s="7">
        <f t="shared" si="84"/>
        <v>138.1</v>
      </c>
      <c r="F5384" s="8"/>
    </row>
    <row r="5385" spans="1:6" ht="18" customHeight="1">
      <c r="A5385" s="4" t="s">
        <v>182</v>
      </c>
      <c r="B5385" s="4" t="str">
        <f>"2020043320"</f>
        <v>2020043320</v>
      </c>
      <c r="C5385" s="5">
        <v>61.5</v>
      </c>
      <c r="D5385" s="6">
        <v>76</v>
      </c>
      <c r="E5385" s="7">
        <f t="shared" si="84"/>
        <v>137.5</v>
      </c>
      <c r="F5385" s="8"/>
    </row>
    <row r="5386" spans="1:6" ht="18" customHeight="1">
      <c r="A5386" s="4" t="s">
        <v>182</v>
      </c>
      <c r="B5386" s="4" t="str">
        <f>"2020023422"</f>
        <v>2020023422</v>
      </c>
      <c r="C5386" s="5">
        <v>74.7</v>
      </c>
      <c r="D5386" s="6">
        <v>62</v>
      </c>
      <c r="E5386" s="7">
        <f t="shared" si="84"/>
        <v>136.69999999999999</v>
      </c>
      <c r="F5386" s="8"/>
    </row>
    <row r="5387" spans="1:6" ht="18" customHeight="1">
      <c r="A5387" s="4" t="s">
        <v>182</v>
      </c>
      <c r="B5387" s="4" t="str">
        <f>"2020034015"</f>
        <v>2020034015</v>
      </c>
      <c r="C5387" s="5">
        <v>62</v>
      </c>
      <c r="D5387" s="6">
        <v>74.5</v>
      </c>
      <c r="E5387" s="7">
        <f t="shared" si="84"/>
        <v>136.5</v>
      </c>
      <c r="F5387" s="8"/>
    </row>
    <row r="5388" spans="1:6" ht="18" customHeight="1">
      <c r="A5388" s="4" t="s">
        <v>182</v>
      </c>
      <c r="B5388" s="4" t="str">
        <f>"2020043013"</f>
        <v>2020043013</v>
      </c>
      <c r="C5388" s="5">
        <v>70.400000000000006</v>
      </c>
      <c r="D5388" s="6">
        <v>65.5</v>
      </c>
      <c r="E5388" s="7">
        <f t="shared" si="84"/>
        <v>135.9</v>
      </c>
      <c r="F5388" s="8"/>
    </row>
    <row r="5389" spans="1:6" ht="18" customHeight="1">
      <c r="A5389" s="4" t="s">
        <v>182</v>
      </c>
      <c r="B5389" s="4" t="str">
        <f>"2020042124"</f>
        <v>2020042124</v>
      </c>
      <c r="C5389" s="5">
        <v>65.7</v>
      </c>
      <c r="D5389" s="6">
        <v>66</v>
      </c>
      <c r="E5389" s="7">
        <f t="shared" si="84"/>
        <v>131.69999999999999</v>
      </c>
      <c r="F5389" s="8"/>
    </row>
    <row r="5390" spans="1:6" ht="18" customHeight="1">
      <c r="A5390" s="4" t="s">
        <v>182</v>
      </c>
      <c r="B5390" s="4" t="str">
        <f>"2020047406"</f>
        <v>2020047406</v>
      </c>
      <c r="C5390" s="5">
        <v>69.5</v>
      </c>
      <c r="D5390" s="6">
        <v>62</v>
      </c>
      <c r="E5390" s="7">
        <f t="shared" si="84"/>
        <v>131.5</v>
      </c>
      <c r="F5390" s="8"/>
    </row>
    <row r="5391" spans="1:6" ht="18" customHeight="1">
      <c r="A5391" s="4" t="s">
        <v>182</v>
      </c>
      <c r="B5391" s="4" t="str">
        <f>"2020010411"</f>
        <v>2020010411</v>
      </c>
      <c r="C5391" s="5">
        <v>61.4</v>
      </c>
      <c r="D5391" s="6">
        <v>69.5</v>
      </c>
      <c r="E5391" s="7">
        <f t="shared" si="84"/>
        <v>130.9</v>
      </c>
      <c r="F5391" s="8"/>
    </row>
    <row r="5392" spans="1:6" ht="18" customHeight="1">
      <c r="A5392" s="4" t="s">
        <v>182</v>
      </c>
      <c r="B5392" s="4" t="str">
        <f>"2020040604"</f>
        <v>2020040604</v>
      </c>
      <c r="C5392" s="5">
        <v>64.5</v>
      </c>
      <c r="D5392" s="6">
        <v>65</v>
      </c>
      <c r="E5392" s="7">
        <f t="shared" si="84"/>
        <v>129.5</v>
      </c>
      <c r="F5392" s="8"/>
    </row>
    <row r="5393" spans="1:6" ht="18" customHeight="1">
      <c r="A5393" s="4" t="s">
        <v>182</v>
      </c>
      <c r="B5393" s="4" t="str">
        <f>"2020044027"</f>
        <v>2020044027</v>
      </c>
      <c r="C5393" s="5">
        <v>61.4</v>
      </c>
      <c r="D5393" s="6">
        <v>63</v>
      </c>
      <c r="E5393" s="7">
        <f t="shared" si="84"/>
        <v>124.4</v>
      </c>
      <c r="F5393" s="8"/>
    </row>
    <row r="5394" spans="1:6" ht="18" customHeight="1">
      <c r="A5394" s="4" t="s">
        <v>182</v>
      </c>
      <c r="B5394" s="4" t="str">
        <f>"2020044303"</f>
        <v>2020044303</v>
      </c>
      <c r="C5394" s="5">
        <v>61</v>
      </c>
      <c r="D5394" s="6">
        <v>63</v>
      </c>
      <c r="E5394" s="7">
        <f t="shared" si="84"/>
        <v>124</v>
      </c>
      <c r="F5394" s="8"/>
    </row>
    <row r="5395" spans="1:6" ht="18" customHeight="1">
      <c r="A5395" s="4" t="s">
        <v>182</v>
      </c>
      <c r="B5395" s="4" t="str">
        <f>"2020043509"</f>
        <v>2020043509</v>
      </c>
      <c r="C5395" s="5">
        <v>63.2</v>
      </c>
      <c r="D5395" s="6">
        <v>60</v>
      </c>
      <c r="E5395" s="7">
        <f t="shared" si="84"/>
        <v>123.2</v>
      </c>
      <c r="F5395" s="8"/>
    </row>
    <row r="5396" spans="1:6" ht="18" customHeight="1">
      <c r="A5396" s="4" t="s">
        <v>182</v>
      </c>
      <c r="B5396" s="4" t="str">
        <f>"2020020819"</f>
        <v>2020020819</v>
      </c>
      <c r="C5396" s="5">
        <v>66.099999999999994</v>
      </c>
      <c r="D5396" s="6">
        <v>55.5</v>
      </c>
      <c r="E5396" s="7">
        <f t="shared" si="84"/>
        <v>121.6</v>
      </c>
      <c r="F5396" s="8"/>
    </row>
    <row r="5397" spans="1:6" ht="18" customHeight="1">
      <c r="A5397" s="4" t="s">
        <v>182</v>
      </c>
      <c r="B5397" s="4" t="str">
        <f>"2020020727"</f>
        <v>2020020727</v>
      </c>
      <c r="C5397" s="5">
        <v>64</v>
      </c>
      <c r="D5397" s="6">
        <v>56</v>
      </c>
      <c r="E5397" s="7">
        <f t="shared" si="84"/>
        <v>120</v>
      </c>
      <c r="F5397" s="8"/>
    </row>
    <row r="5398" spans="1:6" ht="18" customHeight="1">
      <c r="A5398" s="4" t="s">
        <v>182</v>
      </c>
      <c r="B5398" s="4" t="str">
        <f>"2020022428"</f>
        <v>2020022428</v>
      </c>
      <c r="C5398" s="5">
        <v>64.099999999999994</v>
      </c>
      <c r="D5398" s="6">
        <v>55</v>
      </c>
      <c r="E5398" s="7">
        <f t="shared" si="84"/>
        <v>119.1</v>
      </c>
      <c r="F5398" s="8"/>
    </row>
    <row r="5399" spans="1:6" ht="18" customHeight="1">
      <c r="A5399" s="4" t="s">
        <v>182</v>
      </c>
      <c r="B5399" s="4" t="str">
        <f>"2020043907"</f>
        <v>2020043907</v>
      </c>
      <c r="C5399" s="5">
        <v>64.099999999999994</v>
      </c>
      <c r="D5399" s="6">
        <v>52.5</v>
      </c>
      <c r="E5399" s="7">
        <f t="shared" si="84"/>
        <v>116.6</v>
      </c>
      <c r="F5399" s="8"/>
    </row>
    <row r="5400" spans="1:6" ht="18" customHeight="1">
      <c r="A5400" s="4" t="s">
        <v>182</v>
      </c>
      <c r="B5400" s="4" t="str">
        <f>"2020044624"</f>
        <v>2020044624</v>
      </c>
      <c r="C5400" s="5">
        <v>64.900000000000006</v>
      </c>
      <c r="D5400" s="6">
        <v>44.5</v>
      </c>
      <c r="E5400" s="7">
        <f t="shared" si="84"/>
        <v>109.4</v>
      </c>
      <c r="F5400" s="8"/>
    </row>
    <row r="5401" spans="1:6" ht="18" customHeight="1">
      <c r="A5401" s="4" t="s">
        <v>182</v>
      </c>
      <c r="B5401" s="4" t="str">
        <f>"2020013219"</f>
        <v>2020013219</v>
      </c>
      <c r="C5401" s="5">
        <v>55.9</v>
      </c>
      <c r="D5401" s="6">
        <v>53.5</v>
      </c>
      <c r="E5401" s="7">
        <f t="shared" si="84"/>
        <v>109.4</v>
      </c>
      <c r="F5401" s="8"/>
    </row>
    <row r="5402" spans="1:6" ht="18" customHeight="1">
      <c r="A5402" s="4" t="s">
        <v>182</v>
      </c>
      <c r="B5402" s="4" t="str">
        <f>"2020010308"</f>
        <v>2020010308</v>
      </c>
      <c r="C5402" s="5">
        <v>63.1</v>
      </c>
      <c r="D5402" s="6">
        <v>45.5</v>
      </c>
      <c r="E5402" s="7">
        <f t="shared" si="84"/>
        <v>108.6</v>
      </c>
      <c r="F5402" s="8"/>
    </row>
    <row r="5403" spans="1:6" ht="18" customHeight="1">
      <c r="A5403" s="4" t="s">
        <v>182</v>
      </c>
      <c r="B5403" s="4" t="str">
        <f>"2020031603"</f>
        <v>2020031603</v>
      </c>
      <c r="C5403" s="5">
        <v>56.7</v>
      </c>
      <c r="D5403" s="6">
        <v>51</v>
      </c>
      <c r="E5403" s="7">
        <f t="shared" si="84"/>
        <v>107.7</v>
      </c>
      <c r="F5403" s="8"/>
    </row>
    <row r="5404" spans="1:6" ht="18" customHeight="1">
      <c r="A5404" s="4" t="s">
        <v>182</v>
      </c>
      <c r="B5404" s="4" t="str">
        <f>"2020041721"</f>
        <v>2020041721</v>
      </c>
      <c r="C5404" s="5">
        <v>56.1</v>
      </c>
      <c r="D5404" s="6">
        <v>50</v>
      </c>
      <c r="E5404" s="7">
        <f t="shared" si="84"/>
        <v>106.1</v>
      </c>
      <c r="F5404" s="8"/>
    </row>
    <row r="5405" spans="1:6" ht="18" customHeight="1">
      <c r="A5405" s="4" t="s">
        <v>182</v>
      </c>
      <c r="B5405" s="4" t="str">
        <f>"2020043603"</f>
        <v>2020043603</v>
      </c>
      <c r="C5405" s="5">
        <v>56.1</v>
      </c>
      <c r="D5405" s="6">
        <v>49</v>
      </c>
      <c r="E5405" s="7">
        <f t="shared" si="84"/>
        <v>105.1</v>
      </c>
      <c r="F5405" s="8"/>
    </row>
    <row r="5406" spans="1:6" ht="18" customHeight="1">
      <c r="A5406" s="4" t="s">
        <v>182</v>
      </c>
      <c r="B5406" s="4" t="str">
        <f>"2020010122"</f>
        <v>2020010122</v>
      </c>
      <c r="C5406" s="5">
        <v>55.4</v>
      </c>
      <c r="D5406" s="6">
        <v>46.5</v>
      </c>
      <c r="E5406" s="7">
        <f t="shared" si="84"/>
        <v>101.9</v>
      </c>
      <c r="F5406" s="8"/>
    </row>
    <row r="5407" spans="1:6" ht="18" customHeight="1">
      <c r="A5407" s="4" t="s">
        <v>182</v>
      </c>
      <c r="B5407" s="4" t="str">
        <f>"2020032828"</f>
        <v>2020032828</v>
      </c>
      <c r="C5407" s="5">
        <v>57.3</v>
      </c>
      <c r="D5407" s="6">
        <v>44.5</v>
      </c>
      <c r="E5407" s="7">
        <f t="shared" si="84"/>
        <v>101.8</v>
      </c>
      <c r="F5407" s="8"/>
    </row>
    <row r="5408" spans="1:6" ht="18" customHeight="1">
      <c r="A5408" s="4" t="s">
        <v>182</v>
      </c>
      <c r="B5408" s="4" t="str">
        <f>"2020012805"</f>
        <v>2020012805</v>
      </c>
      <c r="C5408" s="5">
        <v>58.2</v>
      </c>
      <c r="D5408" s="6">
        <v>41.5</v>
      </c>
      <c r="E5408" s="7">
        <f t="shared" si="84"/>
        <v>99.7</v>
      </c>
      <c r="F5408" s="8"/>
    </row>
    <row r="5409" spans="1:6" ht="18" customHeight="1">
      <c r="A5409" s="4" t="s">
        <v>182</v>
      </c>
      <c r="B5409" s="4" t="str">
        <f>"2020031623"</f>
        <v>2020031623</v>
      </c>
      <c r="C5409" s="5">
        <v>53.5</v>
      </c>
      <c r="D5409" s="6">
        <v>46</v>
      </c>
      <c r="E5409" s="7">
        <f t="shared" si="84"/>
        <v>99.5</v>
      </c>
      <c r="F5409" s="8"/>
    </row>
    <row r="5410" spans="1:6" ht="18" customHeight="1">
      <c r="A5410" s="4" t="s">
        <v>182</v>
      </c>
      <c r="B5410" s="4" t="str">
        <f>"2020012206"</f>
        <v>2020012206</v>
      </c>
      <c r="C5410" s="5">
        <v>0</v>
      </c>
      <c r="D5410" s="6">
        <v>0</v>
      </c>
      <c r="E5410" s="7">
        <f t="shared" si="84"/>
        <v>0</v>
      </c>
      <c r="F5410" s="9" t="s">
        <v>8</v>
      </c>
    </row>
    <row r="5411" spans="1:6" ht="18" customHeight="1">
      <c r="A5411" s="4" t="s">
        <v>182</v>
      </c>
      <c r="B5411" s="4" t="str">
        <f>"2020012809"</f>
        <v>2020012809</v>
      </c>
      <c r="C5411" s="5">
        <v>0</v>
      </c>
      <c r="D5411" s="6">
        <v>0</v>
      </c>
      <c r="E5411" s="7">
        <f t="shared" si="84"/>
        <v>0</v>
      </c>
      <c r="F5411" s="9" t="s">
        <v>8</v>
      </c>
    </row>
    <row r="5412" spans="1:6" ht="18" customHeight="1">
      <c r="A5412" s="4" t="s">
        <v>182</v>
      </c>
      <c r="B5412" s="4" t="str">
        <f>"2020013108"</f>
        <v>2020013108</v>
      </c>
      <c r="C5412" s="5">
        <v>0</v>
      </c>
      <c r="D5412" s="6">
        <v>0</v>
      </c>
      <c r="E5412" s="7">
        <f t="shared" si="84"/>
        <v>0</v>
      </c>
      <c r="F5412" s="9" t="s">
        <v>8</v>
      </c>
    </row>
    <row r="5413" spans="1:6" ht="18" customHeight="1">
      <c r="A5413" s="4" t="s">
        <v>182</v>
      </c>
      <c r="B5413" s="4" t="str">
        <f>"2020030211"</f>
        <v>2020030211</v>
      </c>
      <c r="C5413" s="5">
        <v>0</v>
      </c>
      <c r="D5413" s="6">
        <v>0</v>
      </c>
      <c r="E5413" s="7">
        <f t="shared" si="84"/>
        <v>0</v>
      </c>
      <c r="F5413" s="8" t="s">
        <v>8</v>
      </c>
    </row>
    <row r="5414" spans="1:6" ht="18" customHeight="1">
      <c r="A5414" s="4" t="s">
        <v>182</v>
      </c>
      <c r="B5414" s="4" t="str">
        <f>"2020032225"</f>
        <v>2020032225</v>
      </c>
      <c r="C5414" s="5">
        <v>0</v>
      </c>
      <c r="D5414" s="6">
        <v>0</v>
      </c>
      <c r="E5414" s="7">
        <f t="shared" si="84"/>
        <v>0</v>
      </c>
      <c r="F5414" s="8" t="s">
        <v>8</v>
      </c>
    </row>
    <row r="5415" spans="1:6" ht="18" customHeight="1">
      <c r="A5415" s="4" t="s">
        <v>182</v>
      </c>
      <c r="B5415" s="11" t="str">
        <f>"2020032811"</f>
        <v>2020032811</v>
      </c>
      <c r="C5415" s="5">
        <v>0</v>
      </c>
      <c r="D5415" s="6">
        <v>0</v>
      </c>
      <c r="E5415" s="7">
        <f t="shared" si="84"/>
        <v>0</v>
      </c>
      <c r="F5415" s="8" t="s">
        <v>8</v>
      </c>
    </row>
    <row r="5416" spans="1:6" ht="18" customHeight="1">
      <c r="A5416" s="4" t="s">
        <v>182</v>
      </c>
      <c r="B5416" s="4" t="str">
        <f>"2020045009"</f>
        <v>2020045009</v>
      </c>
      <c r="C5416" s="5">
        <v>0</v>
      </c>
      <c r="D5416" s="6">
        <v>0</v>
      </c>
      <c r="E5416" s="7">
        <f t="shared" si="84"/>
        <v>0</v>
      </c>
      <c r="F5416" s="8" t="s">
        <v>8</v>
      </c>
    </row>
    <row r="5417" spans="1:6" ht="18" customHeight="1">
      <c r="A5417" s="4" t="s">
        <v>182</v>
      </c>
      <c r="B5417" s="4" t="str">
        <f>"2020046715"</f>
        <v>2020046715</v>
      </c>
      <c r="C5417" s="5">
        <v>0</v>
      </c>
      <c r="D5417" s="6">
        <v>0</v>
      </c>
      <c r="E5417" s="7">
        <f t="shared" si="84"/>
        <v>0</v>
      </c>
      <c r="F5417" s="8" t="s">
        <v>8</v>
      </c>
    </row>
    <row r="5418" spans="1:6" ht="18" customHeight="1">
      <c r="A5418" s="4" t="s">
        <v>182</v>
      </c>
      <c r="B5418" s="4" t="str">
        <f>"2020046927"</f>
        <v>2020046927</v>
      </c>
      <c r="C5418" s="5">
        <v>0</v>
      </c>
      <c r="D5418" s="6">
        <v>0</v>
      </c>
      <c r="E5418" s="7">
        <f t="shared" si="84"/>
        <v>0</v>
      </c>
      <c r="F5418" s="8" t="s">
        <v>8</v>
      </c>
    </row>
    <row r="5419" spans="1:6" ht="18" customHeight="1">
      <c r="A5419" s="4" t="s">
        <v>182</v>
      </c>
      <c r="B5419" s="4" t="str">
        <f>"2020047116"</f>
        <v>2020047116</v>
      </c>
      <c r="C5419" s="5">
        <v>0</v>
      </c>
      <c r="D5419" s="6">
        <v>0</v>
      </c>
      <c r="E5419" s="7">
        <f t="shared" si="84"/>
        <v>0</v>
      </c>
      <c r="F5419" s="8" t="s">
        <v>8</v>
      </c>
    </row>
    <row r="5420" spans="1:6" ht="18" customHeight="1">
      <c r="A5420" s="4" t="s">
        <v>182</v>
      </c>
      <c r="B5420" s="4" t="str">
        <f>"2020047609"</f>
        <v>2020047609</v>
      </c>
      <c r="C5420" s="5">
        <v>0</v>
      </c>
      <c r="D5420" s="6">
        <v>0</v>
      </c>
      <c r="E5420" s="7">
        <f t="shared" si="84"/>
        <v>0</v>
      </c>
      <c r="F5420" s="8" t="s">
        <v>8</v>
      </c>
    </row>
    <row r="5421" spans="1:6" ht="18" customHeight="1">
      <c r="A5421" s="4" t="s">
        <v>183</v>
      </c>
      <c r="B5421" s="4" t="str">
        <f>"2020022509"</f>
        <v>2020022509</v>
      </c>
      <c r="C5421" s="5">
        <v>70.7</v>
      </c>
      <c r="D5421" s="6">
        <v>66.5</v>
      </c>
      <c r="E5421" s="7">
        <f t="shared" si="84"/>
        <v>137.19999999999999</v>
      </c>
      <c r="F5421" s="8"/>
    </row>
    <row r="5422" spans="1:6" ht="18" customHeight="1">
      <c r="A5422" s="4" t="s">
        <v>183</v>
      </c>
      <c r="B5422" s="4" t="str">
        <f>"2020033717"</f>
        <v>2020033717</v>
      </c>
      <c r="C5422" s="5">
        <v>62.4</v>
      </c>
      <c r="D5422" s="6">
        <v>72</v>
      </c>
      <c r="E5422" s="7">
        <f t="shared" si="84"/>
        <v>134.4</v>
      </c>
      <c r="F5422" s="8"/>
    </row>
    <row r="5423" spans="1:6" ht="18" customHeight="1">
      <c r="A5423" s="4" t="s">
        <v>183</v>
      </c>
      <c r="B5423" s="4" t="str">
        <f>"2020024709"</f>
        <v>2020024709</v>
      </c>
      <c r="C5423" s="5">
        <v>66.900000000000006</v>
      </c>
      <c r="D5423" s="6">
        <v>65.5</v>
      </c>
      <c r="E5423" s="7">
        <f t="shared" si="84"/>
        <v>132.4</v>
      </c>
      <c r="F5423" s="8"/>
    </row>
    <row r="5424" spans="1:6" ht="18" customHeight="1">
      <c r="A5424" s="4" t="s">
        <v>183</v>
      </c>
      <c r="B5424" s="4" t="str">
        <f>"2020041519"</f>
        <v>2020041519</v>
      </c>
      <c r="C5424" s="5">
        <v>64.900000000000006</v>
      </c>
      <c r="D5424" s="6">
        <v>62.5</v>
      </c>
      <c r="E5424" s="7">
        <f t="shared" si="84"/>
        <v>127.4</v>
      </c>
      <c r="F5424" s="8"/>
    </row>
    <row r="5425" spans="1:6" ht="18" customHeight="1">
      <c r="A5425" s="4" t="s">
        <v>183</v>
      </c>
      <c r="B5425" s="4" t="str">
        <f>"2020032721"</f>
        <v>2020032721</v>
      </c>
      <c r="C5425" s="5">
        <v>64.900000000000006</v>
      </c>
      <c r="D5425" s="6">
        <v>58.5</v>
      </c>
      <c r="E5425" s="7">
        <f t="shared" si="84"/>
        <v>123.4</v>
      </c>
      <c r="F5425" s="8"/>
    </row>
    <row r="5426" spans="1:6" ht="18" customHeight="1">
      <c r="A5426" s="4" t="s">
        <v>183</v>
      </c>
      <c r="B5426" s="4" t="str">
        <f>"2020031901"</f>
        <v>2020031901</v>
      </c>
      <c r="C5426" s="5">
        <v>61.9</v>
      </c>
      <c r="D5426" s="6">
        <v>59.5</v>
      </c>
      <c r="E5426" s="7">
        <f t="shared" si="84"/>
        <v>121.4</v>
      </c>
      <c r="F5426" s="8"/>
    </row>
    <row r="5427" spans="1:6" ht="18" customHeight="1">
      <c r="A5427" s="4" t="s">
        <v>183</v>
      </c>
      <c r="B5427" s="4" t="str">
        <f>"2020043109"</f>
        <v>2020043109</v>
      </c>
      <c r="C5427" s="5">
        <v>60.9</v>
      </c>
      <c r="D5427" s="6">
        <v>57</v>
      </c>
      <c r="E5427" s="7">
        <f t="shared" si="84"/>
        <v>117.9</v>
      </c>
      <c r="F5427" s="8"/>
    </row>
    <row r="5428" spans="1:6" ht="18" customHeight="1">
      <c r="A5428" s="4" t="s">
        <v>183</v>
      </c>
      <c r="B5428" s="4" t="str">
        <f>"2020010318"</f>
        <v>2020010318</v>
      </c>
      <c r="C5428" s="5">
        <v>59.5</v>
      </c>
      <c r="D5428" s="6">
        <v>56.5</v>
      </c>
      <c r="E5428" s="7">
        <f t="shared" si="84"/>
        <v>116</v>
      </c>
      <c r="F5428" s="8"/>
    </row>
    <row r="5429" spans="1:6" ht="18" customHeight="1">
      <c r="A5429" s="4" t="s">
        <v>183</v>
      </c>
      <c r="B5429" s="4" t="str">
        <f>"2020010410"</f>
        <v>2020010410</v>
      </c>
      <c r="C5429" s="5">
        <v>58.9</v>
      </c>
      <c r="D5429" s="6">
        <v>56.5</v>
      </c>
      <c r="E5429" s="7">
        <f t="shared" si="84"/>
        <v>115.4</v>
      </c>
      <c r="F5429" s="8"/>
    </row>
    <row r="5430" spans="1:6" ht="18" customHeight="1">
      <c r="A5430" s="4" t="s">
        <v>183</v>
      </c>
      <c r="B5430" s="4" t="str">
        <f>"2020011304"</f>
        <v>2020011304</v>
      </c>
      <c r="C5430" s="5">
        <v>52.7</v>
      </c>
      <c r="D5430" s="6">
        <v>61</v>
      </c>
      <c r="E5430" s="7">
        <f t="shared" si="84"/>
        <v>113.7</v>
      </c>
      <c r="F5430" s="8"/>
    </row>
    <row r="5431" spans="1:6" ht="18" customHeight="1">
      <c r="A5431" s="4" t="s">
        <v>183</v>
      </c>
      <c r="B5431" s="4" t="str">
        <f>"2020041006"</f>
        <v>2020041006</v>
      </c>
      <c r="C5431" s="5">
        <v>60</v>
      </c>
      <c r="D5431" s="6">
        <v>53</v>
      </c>
      <c r="E5431" s="7">
        <f t="shared" si="84"/>
        <v>113</v>
      </c>
      <c r="F5431" s="8"/>
    </row>
    <row r="5432" spans="1:6" ht="18" customHeight="1">
      <c r="A5432" s="4" t="s">
        <v>183</v>
      </c>
      <c r="B5432" s="4" t="str">
        <f>"2020030418"</f>
        <v>2020030418</v>
      </c>
      <c r="C5432" s="5">
        <v>62.3</v>
      </c>
      <c r="D5432" s="6">
        <v>50</v>
      </c>
      <c r="E5432" s="7">
        <f t="shared" si="84"/>
        <v>112.3</v>
      </c>
      <c r="F5432" s="8"/>
    </row>
    <row r="5433" spans="1:6" ht="18" customHeight="1">
      <c r="A5433" s="4" t="s">
        <v>183</v>
      </c>
      <c r="B5433" s="4" t="str">
        <f>"2020030614"</f>
        <v>2020030614</v>
      </c>
      <c r="C5433" s="5">
        <v>55.6</v>
      </c>
      <c r="D5433" s="6">
        <v>55.5</v>
      </c>
      <c r="E5433" s="7">
        <f t="shared" si="84"/>
        <v>111.1</v>
      </c>
      <c r="F5433" s="8"/>
    </row>
    <row r="5434" spans="1:6" ht="18" customHeight="1">
      <c r="A5434" s="4" t="s">
        <v>183</v>
      </c>
      <c r="B5434" s="4" t="str">
        <f>"2020030312"</f>
        <v>2020030312</v>
      </c>
      <c r="C5434" s="5">
        <v>53.7</v>
      </c>
      <c r="D5434" s="6">
        <v>51</v>
      </c>
      <c r="E5434" s="7">
        <f t="shared" si="84"/>
        <v>104.7</v>
      </c>
      <c r="F5434" s="8"/>
    </row>
    <row r="5435" spans="1:6" ht="18" customHeight="1">
      <c r="A5435" s="4" t="s">
        <v>183</v>
      </c>
      <c r="B5435" s="4" t="str">
        <f>"2020012221"</f>
        <v>2020012221</v>
      </c>
      <c r="C5435" s="5">
        <v>56.3</v>
      </c>
      <c r="D5435" s="6">
        <v>46</v>
      </c>
      <c r="E5435" s="7">
        <f t="shared" si="84"/>
        <v>102.3</v>
      </c>
      <c r="F5435" s="8"/>
    </row>
    <row r="5436" spans="1:6" ht="18" customHeight="1">
      <c r="A5436" s="4" t="s">
        <v>183</v>
      </c>
      <c r="B5436" s="4" t="str">
        <f>"2020033521"</f>
        <v>2020033521</v>
      </c>
      <c r="C5436" s="5">
        <v>46.7</v>
      </c>
      <c r="D5436" s="6">
        <v>50.5</v>
      </c>
      <c r="E5436" s="7">
        <f t="shared" si="84"/>
        <v>97.2</v>
      </c>
      <c r="F5436" s="8"/>
    </row>
    <row r="5437" spans="1:6" ht="18" customHeight="1">
      <c r="A5437" s="4" t="s">
        <v>184</v>
      </c>
      <c r="B5437" s="4" t="str">
        <f>"2020022818"</f>
        <v>2020022818</v>
      </c>
      <c r="C5437" s="5">
        <v>76.8</v>
      </c>
      <c r="D5437" s="6">
        <v>79</v>
      </c>
      <c r="E5437" s="7">
        <f t="shared" si="84"/>
        <v>155.80000000000001</v>
      </c>
      <c r="F5437" s="8"/>
    </row>
    <row r="5438" spans="1:6" ht="18" customHeight="1">
      <c r="A5438" s="4" t="s">
        <v>184</v>
      </c>
      <c r="B5438" s="4" t="str">
        <f>"2020010121"</f>
        <v>2020010121</v>
      </c>
      <c r="C5438" s="5">
        <v>70.5</v>
      </c>
      <c r="D5438" s="6">
        <v>79.5</v>
      </c>
      <c r="E5438" s="7">
        <f t="shared" si="84"/>
        <v>150</v>
      </c>
      <c r="F5438" s="8"/>
    </row>
    <row r="5439" spans="1:6" ht="18" customHeight="1">
      <c r="A5439" s="4" t="s">
        <v>184</v>
      </c>
      <c r="B5439" s="4" t="str">
        <f>"2020047423"</f>
        <v>2020047423</v>
      </c>
      <c r="C5439" s="5">
        <v>73.8</v>
      </c>
      <c r="D5439" s="6">
        <v>75.5</v>
      </c>
      <c r="E5439" s="7">
        <f t="shared" si="84"/>
        <v>149.30000000000001</v>
      </c>
      <c r="F5439" s="8"/>
    </row>
    <row r="5440" spans="1:6" ht="18" customHeight="1">
      <c r="A5440" s="4" t="s">
        <v>184</v>
      </c>
      <c r="B5440" s="4" t="str">
        <f>"2020043422"</f>
        <v>2020043422</v>
      </c>
      <c r="C5440" s="5">
        <v>60.9</v>
      </c>
      <c r="D5440" s="6">
        <v>88</v>
      </c>
      <c r="E5440" s="7">
        <f t="shared" si="84"/>
        <v>148.9</v>
      </c>
      <c r="F5440" s="8"/>
    </row>
    <row r="5441" spans="1:6" ht="18" customHeight="1">
      <c r="A5441" s="4" t="s">
        <v>184</v>
      </c>
      <c r="B5441" s="4" t="str">
        <f>"2020011206"</f>
        <v>2020011206</v>
      </c>
      <c r="C5441" s="5">
        <v>78.5</v>
      </c>
      <c r="D5441" s="6">
        <v>70</v>
      </c>
      <c r="E5441" s="7">
        <f t="shared" si="84"/>
        <v>148.5</v>
      </c>
      <c r="F5441" s="8"/>
    </row>
    <row r="5442" spans="1:6" ht="18" customHeight="1">
      <c r="A5442" s="4" t="s">
        <v>184</v>
      </c>
      <c r="B5442" s="4" t="str">
        <f>"2020010208"</f>
        <v>2020010208</v>
      </c>
      <c r="C5442" s="5">
        <v>72.400000000000006</v>
      </c>
      <c r="D5442" s="6">
        <v>75.5</v>
      </c>
      <c r="E5442" s="7">
        <f t="shared" si="84"/>
        <v>147.9</v>
      </c>
      <c r="F5442" s="8"/>
    </row>
    <row r="5443" spans="1:6" ht="18" customHeight="1">
      <c r="A5443" s="4" t="s">
        <v>184</v>
      </c>
      <c r="B5443" s="4" t="str">
        <f>"2020042109"</f>
        <v>2020042109</v>
      </c>
      <c r="C5443" s="5">
        <v>68.400000000000006</v>
      </c>
      <c r="D5443" s="6">
        <v>77.5</v>
      </c>
      <c r="E5443" s="7">
        <f t="shared" ref="E5443:E5506" si="85">SUM(C5443:D5443)</f>
        <v>145.9</v>
      </c>
      <c r="F5443" s="8"/>
    </row>
    <row r="5444" spans="1:6" ht="18" customHeight="1">
      <c r="A5444" s="4" t="s">
        <v>184</v>
      </c>
      <c r="B5444" s="4" t="str">
        <f>"2020046925"</f>
        <v>2020046925</v>
      </c>
      <c r="C5444" s="5">
        <v>78.900000000000006</v>
      </c>
      <c r="D5444" s="6">
        <v>66.5</v>
      </c>
      <c r="E5444" s="7">
        <f t="shared" si="85"/>
        <v>145.4</v>
      </c>
      <c r="F5444" s="8"/>
    </row>
    <row r="5445" spans="1:6" ht="18" customHeight="1">
      <c r="A5445" s="4" t="s">
        <v>184</v>
      </c>
      <c r="B5445" s="4" t="str">
        <f>"2020043706"</f>
        <v>2020043706</v>
      </c>
      <c r="C5445" s="5">
        <v>71.3</v>
      </c>
      <c r="D5445" s="6">
        <v>73.5</v>
      </c>
      <c r="E5445" s="7">
        <f t="shared" si="85"/>
        <v>144.80000000000001</v>
      </c>
      <c r="F5445" s="8"/>
    </row>
    <row r="5446" spans="1:6" ht="18" customHeight="1">
      <c r="A5446" s="4" t="s">
        <v>184</v>
      </c>
      <c r="B5446" s="4" t="str">
        <f>"2020044418"</f>
        <v>2020044418</v>
      </c>
      <c r="C5446" s="5">
        <v>73.2</v>
      </c>
      <c r="D5446" s="6">
        <v>71.5</v>
      </c>
      <c r="E5446" s="7">
        <f t="shared" si="85"/>
        <v>144.69999999999999</v>
      </c>
      <c r="F5446" s="8"/>
    </row>
    <row r="5447" spans="1:6" ht="18" customHeight="1">
      <c r="A5447" s="4" t="s">
        <v>184</v>
      </c>
      <c r="B5447" s="4" t="str">
        <f>"2020024707"</f>
        <v>2020024707</v>
      </c>
      <c r="C5447" s="5">
        <v>62.9</v>
      </c>
      <c r="D5447" s="6">
        <v>80.5</v>
      </c>
      <c r="E5447" s="7">
        <f t="shared" si="85"/>
        <v>143.4</v>
      </c>
      <c r="F5447" s="8"/>
    </row>
    <row r="5448" spans="1:6" ht="18" customHeight="1">
      <c r="A5448" s="4" t="s">
        <v>184</v>
      </c>
      <c r="B5448" s="4" t="str">
        <f>"2020010417"</f>
        <v>2020010417</v>
      </c>
      <c r="C5448" s="5">
        <v>66.5</v>
      </c>
      <c r="D5448" s="6">
        <v>76</v>
      </c>
      <c r="E5448" s="7">
        <f t="shared" si="85"/>
        <v>142.5</v>
      </c>
      <c r="F5448" s="8"/>
    </row>
    <row r="5449" spans="1:6" ht="18" customHeight="1">
      <c r="A5449" s="4" t="s">
        <v>184</v>
      </c>
      <c r="B5449" s="4" t="str">
        <f>"2020013119"</f>
        <v>2020013119</v>
      </c>
      <c r="C5449" s="5">
        <v>72.7</v>
      </c>
      <c r="D5449" s="6">
        <v>69.5</v>
      </c>
      <c r="E5449" s="7">
        <f t="shared" si="85"/>
        <v>142.19999999999999</v>
      </c>
      <c r="F5449" s="8"/>
    </row>
    <row r="5450" spans="1:6" ht="18" customHeight="1">
      <c r="A5450" s="4" t="s">
        <v>184</v>
      </c>
      <c r="B5450" s="4" t="str">
        <f>"2020047409"</f>
        <v>2020047409</v>
      </c>
      <c r="C5450" s="5">
        <v>77.599999999999994</v>
      </c>
      <c r="D5450" s="6">
        <v>62</v>
      </c>
      <c r="E5450" s="7">
        <f t="shared" si="85"/>
        <v>139.6</v>
      </c>
      <c r="F5450" s="8"/>
    </row>
    <row r="5451" spans="1:6" ht="18" customHeight="1">
      <c r="A5451" s="4" t="s">
        <v>184</v>
      </c>
      <c r="B5451" s="4" t="str">
        <f>"2020033813"</f>
        <v>2020033813</v>
      </c>
      <c r="C5451" s="5">
        <v>74</v>
      </c>
      <c r="D5451" s="6">
        <v>65.5</v>
      </c>
      <c r="E5451" s="7">
        <f t="shared" si="85"/>
        <v>139.5</v>
      </c>
      <c r="F5451" s="8"/>
    </row>
    <row r="5452" spans="1:6" ht="18" customHeight="1">
      <c r="A5452" s="4" t="s">
        <v>184</v>
      </c>
      <c r="B5452" s="4" t="str">
        <f>"2020046408"</f>
        <v>2020046408</v>
      </c>
      <c r="C5452" s="5">
        <v>69.900000000000006</v>
      </c>
      <c r="D5452" s="6">
        <v>67.5</v>
      </c>
      <c r="E5452" s="7">
        <f t="shared" si="85"/>
        <v>137.4</v>
      </c>
      <c r="F5452" s="8"/>
    </row>
    <row r="5453" spans="1:6" ht="18" customHeight="1">
      <c r="A5453" s="4" t="s">
        <v>184</v>
      </c>
      <c r="B5453" s="4" t="str">
        <f>"2020033827"</f>
        <v>2020033827</v>
      </c>
      <c r="C5453" s="5">
        <v>69.099999999999994</v>
      </c>
      <c r="D5453" s="6">
        <v>67</v>
      </c>
      <c r="E5453" s="7">
        <f t="shared" si="85"/>
        <v>136.1</v>
      </c>
      <c r="F5453" s="8"/>
    </row>
    <row r="5454" spans="1:6" ht="18" customHeight="1">
      <c r="A5454" s="4" t="s">
        <v>184</v>
      </c>
      <c r="B5454" s="4" t="str">
        <f>"2020021628"</f>
        <v>2020021628</v>
      </c>
      <c r="C5454" s="5">
        <v>72.8</v>
      </c>
      <c r="D5454" s="6">
        <v>63</v>
      </c>
      <c r="E5454" s="7">
        <f t="shared" si="85"/>
        <v>135.80000000000001</v>
      </c>
      <c r="F5454" s="8"/>
    </row>
    <row r="5455" spans="1:6" ht="18" customHeight="1">
      <c r="A5455" s="4" t="s">
        <v>184</v>
      </c>
      <c r="B5455" s="4" t="str">
        <f>"2020046608"</f>
        <v>2020046608</v>
      </c>
      <c r="C5455" s="5">
        <v>64.8</v>
      </c>
      <c r="D5455" s="6">
        <v>70.5</v>
      </c>
      <c r="E5455" s="7">
        <f t="shared" si="85"/>
        <v>135.30000000000001</v>
      </c>
      <c r="F5455" s="8"/>
    </row>
    <row r="5456" spans="1:6" ht="18" customHeight="1">
      <c r="A5456" s="4" t="s">
        <v>184</v>
      </c>
      <c r="B5456" s="4" t="str">
        <f>"2020044804"</f>
        <v>2020044804</v>
      </c>
      <c r="C5456" s="5">
        <v>67.8</v>
      </c>
      <c r="D5456" s="6">
        <v>65</v>
      </c>
      <c r="E5456" s="7">
        <f t="shared" si="85"/>
        <v>132.80000000000001</v>
      </c>
      <c r="F5456" s="8"/>
    </row>
    <row r="5457" spans="1:6" ht="18" customHeight="1">
      <c r="A5457" s="4" t="s">
        <v>184</v>
      </c>
      <c r="B5457" s="4" t="str">
        <f>"2020012205"</f>
        <v>2020012205</v>
      </c>
      <c r="C5457" s="5">
        <v>64.7</v>
      </c>
      <c r="D5457" s="6">
        <v>67.5</v>
      </c>
      <c r="E5457" s="7">
        <f t="shared" si="85"/>
        <v>132.19999999999999</v>
      </c>
      <c r="F5457" s="8"/>
    </row>
    <row r="5458" spans="1:6" ht="18" customHeight="1">
      <c r="A5458" s="4" t="s">
        <v>184</v>
      </c>
      <c r="B5458" s="4" t="str">
        <f>"2020020629"</f>
        <v>2020020629</v>
      </c>
      <c r="C5458" s="5">
        <v>68.400000000000006</v>
      </c>
      <c r="D5458" s="6">
        <v>63.5</v>
      </c>
      <c r="E5458" s="7">
        <f t="shared" si="85"/>
        <v>131.9</v>
      </c>
      <c r="F5458" s="8"/>
    </row>
    <row r="5459" spans="1:6" ht="18" customHeight="1">
      <c r="A5459" s="4" t="s">
        <v>184</v>
      </c>
      <c r="B5459" s="4" t="str">
        <f>"2020040823"</f>
        <v>2020040823</v>
      </c>
      <c r="C5459" s="5">
        <v>72</v>
      </c>
      <c r="D5459" s="6">
        <v>59</v>
      </c>
      <c r="E5459" s="7">
        <f t="shared" si="85"/>
        <v>131</v>
      </c>
      <c r="F5459" s="8"/>
    </row>
    <row r="5460" spans="1:6" ht="18" customHeight="1">
      <c r="A5460" s="4" t="s">
        <v>184</v>
      </c>
      <c r="B5460" s="4" t="str">
        <f>"2020013530"</f>
        <v>2020013530</v>
      </c>
      <c r="C5460" s="5">
        <v>62.1</v>
      </c>
      <c r="D5460" s="6">
        <v>68</v>
      </c>
      <c r="E5460" s="7">
        <f t="shared" si="85"/>
        <v>130.1</v>
      </c>
      <c r="F5460" s="8" t="s">
        <v>13</v>
      </c>
    </row>
    <row r="5461" spans="1:6" ht="18" customHeight="1">
      <c r="A5461" s="4" t="s">
        <v>184</v>
      </c>
      <c r="B5461" s="4" t="str">
        <f>"2020033826"</f>
        <v>2020033826</v>
      </c>
      <c r="C5461" s="5">
        <v>67.099999999999994</v>
      </c>
      <c r="D5461" s="6">
        <v>62</v>
      </c>
      <c r="E5461" s="7">
        <f t="shared" si="85"/>
        <v>129.1</v>
      </c>
      <c r="F5461" s="8"/>
    </row>
    <row r="5462" spans="1:6" ht="18" customHeight="1">
      <c r="A5462" s="4" t="s">
        <v>184</v>
      </c>
      <c r="B5462" s="4" t="str">
        <f>"2020032410"</f>
        <v>2020032410</v>
      </c>
      <c r="C5462" s="5">
        <v>60.7</v>
      </c>
      <c r="D5462" s="6">
        <v>68</v>
      </c>
      <c r="E5462" s="7">
        <f t="shared" si="85"/>
        <v>128.69999999999999</v>
      </c>
      <c r="F5462" s="8"/>
    </row>
    <row r="5463" spans="1:6" ht="18" customHeight="1">
      <c r="A5463" s="4" t="s">
        <v>184</v>
      </c>
      <c r="B5463" s="4" t="str">
        <f>"2020020911"</f>
        <v>2020020911</v>
      </c>
      <c r="C5463" s="5">
        <v>65.5</v>
      </c>
      <c r="D5463" s="6">
        <v>63</v>
      </c>
      <c r="E5463" s="7">
        <f t="shared" si="85"/>
        <v>128.5</v>
      </c>
      <c r="F5463" s="8"/>
    </row>
    <row r="5464" spans="1:6" ht="18" customHeight="1">
      <c r="A5464" s="4" t="s">
        <v>184</v>
      </c>
      <c r="B5464" s="4" t="str">
        <f>"2020024104"</f>
        <v>2020024104</v>
      </c>
      <c r="C5464" s="5">
        <v>68.3</v>
      </c>
      <c r="D5464" s="6">
        <v>60</v>
      </c>
      <c r="E5464" s="7">
        <f t="shared" si="85"/>
        <v>128.30000000000001</v>
      </c>
      <c r="F5464" s="8"/>
    </row>
    <row r="5465" spans="1:6" ht="18" customHeight="1">
      <c r="A5465" s="4" t="s">
        <v>184</v>
      </c>
      <c r="B5465" s="4" t="str">
        <f>"2020033622"</f>
        <v>2020033622</v>
      </c>
      <c r="C5465" s="5">
        <v>67.7</v>
      </c>
      <c r="D5465" s="6">
        <v>60</v>
      </c>
      <c r="E5465" s="7">
        <f t="shared" si="85"/>
        <v>127.7</v>
      </c>
      <c r="F5465" s="8"/>
    </row>
    <row r="5466" spans="1:6" ht="18" customHeight="1">
      <c r="A5466" s="4" t="s">
        <v>184</v>
      </c>
      <c r="B5466" s="4" t="str">
        <f>"2020033907"</f>
        <v>2020033907</v>
      </c>
      <c r="C5466" s="5">
        <v>73.7</v>
      </c>
      <c r="D5466" s="6">
        <v>53</v>
      </c>
      <c r="E5466" s="7">
        <f t="shared" si="85"/>
        <v>126.7</v>
      </c>
      <c r="F5466" s="8"/>
    </row>
    <row r="5467" spans="1:6" ht="18" customHeight="1">
      <c r="A5467" s="4" t="s">
        <v>184</v>
      </c>
      <c r="B5467" s="4" t="str">
        <f>"2020032810"</f>
        <v>2020032810</v>
      </c>
      <c r="C5467" s="5">
        <v>62.1</v>
      </c>
      <c r="D5467" s="6">
        <v>64</v>
      </c>
      <c r="E5467" s="7">
        <f t="shared" si="85"/>
        <v>126.1</v>
      </c>
      <c r="F5467" s="8"/>
    </row>
    <row r="5468" spans="1:6" ht="18" customHeight="1">
      <c r="A5468" s="4" t="s">
        <v>184</v>
      </c>
      <c r="B5468" s="4" t="str">
        <f>"2020033719"</f>
        <v>2020033719</v>
      </c>
      <c r="C5468" s="5">
        <v>63.4</v>
      </c>
      <c r="D5468" s="6">
        <v>62.5</v>
      </c>
      <c r="E5468" s="7">
        <f t="shared" si="85"/>
        <v>125.9</v>
      </c>
      <c r="F5468" s="8"/>
    </row>
    <row r="5469" spans="1:6" ht="18" customHeight="1">
      <c r="A5469" s="4" t="s">
        <v>184</v>
      </c>
      <c r="B5469" s="4" t="str">
        <f>"2020040918"</f>
        <v>2020040918</v>
      </c>
      <c r="C5469" s="5">
        <v>68.900000000000006</v>
      </c>
      <c r="D5469" s="6">
        <v>56</v>
      </c>
      <c r="E5469" s="7">
        <f t="shared" si="85"/>
        <v>124.9</v>
      </c>
      <c r="F5469" s="8"/>
    </row>
    <row r="5470" spans="1:6" ht="18" customHeight="1">
      <c r="A5470" s="4" t="s">
        <v>184</v>
      </c>
      <c r="B5470" s="4" t="str">
        <f>"2020031913"</f>
        <v>2020031913</v>
      </c>
      <c r="C5470" s="5">
        <v>66.599999999999994</v>
      </c>
      <c r="D5470" s="6">
        <v>57.5</v>
      </c>
      <c r="E5470" s="7">
        <f t="shared" si="85"/>
        <v>124.1</v>
      </c>
      <c r="F5470" s="8"/>
    </row>
    <row r="5471" spans="1:6" ht="18" customHeight="1">
      <c r="A5471" s="4" t="s">
        <v>184</v>
      </c>
      <c r="B5471" s="4" t="str">
        <f>"2020041327"</f>
        <v>2020041327</v>
      </c>
      <c r="C5471" s="5">
        <v>68.900000000000006</v>
      </c>
      <c r="D5471" s="6">
        <v>55</v>
      </c>
      <c r="E5471" s="7">
        <f t="shared" si="85"/>
        <v>123.9</v>
      </c>
      <c r="F5471" s="8"/>
    </row>
    <row r="5472" spans="1:6" ht="18" customHeight="1">
      <c r="A5472" s="4" t="s">
        <v>184</v>
      </c>
      <c r="B5472" s="4" t="str">
        <f>"2020031422"</f>
        <v>2020031422</v>
      </c>
      <c r="C5472" s="5">
        <v>64.7</v>
      </c>
      <c r="D5472" s="6">
        <v>58.5</v>
      </c>
      <c r="E5472" s="7">
        <f t="shared" si="85"/>
        <v>123.2</v>
      </c>
      <c r="F5472" s="8"/>
    </row>
    <row r="5473" spans="1:6" ht="18" customHeight="1">
      <c r="A5473" s="4" t="s">
        <v>184</v>
      </c>
      <c r="B5473" s="4" t="str">
        <f>"2020041818"</f>
        <v>2020041818</v>
      </c>
      <c r="C5473" s="5">
        <v>63.6</v>
      </c>
      <c r="D5473" s="6">
        <v>59.5</v>
      </c>
      <c r="E5473" s="7">
        <f t="shared" si="85"/>
        <v>123.1</v>
      </c>
      <c r="F5473" s="8"/>
    </row>
    <row r="5474" spans="1:6" ht="18" customHeight="1">
      <c r="A5474" s="4" t="s">
        <v>184</v>
      </c>
      <c r="B5474" s="4" t="str">
        <f>"2020023215"</f>
        <v>2020023215</v>
      </c>
      <c r="C5474" s="5">
        <v>62.6</v>
      </c>
      <c r="D5474" s="6">
        <v>60.5</v>
      </c>
      <c r="E5474" s="7">
        <f t="shared" si="85"/>
        <v>123.1</v>
      </c>
      <c r="F5474" s="8"/>
    </row>
    <row r="5475" spans="1:6" ht="18" customHeight="1">
      <c r="A5475" s="4" t="s">
        <v>184</v>
      </c>
      <c r="B5475" s="4" t="str">
        <f>"2020010527"</f>
        <v>2020010527</v>
      </c>
      <c r="C5475" s="5">
        <v>69.3</v>
      </c>
      <c r="D5475" s="6">
        <v>53</v>
      </c>
      <c r="E5475" s="7">
        <f t="shared" si="85"/>
        <v>122.3</v>
      </c>
      <c r="F5475" s="8"/>
    </row>
    <row r="5476" spans="1:6" ht="18" customHeight="1">
      <c r="A5476" s="4" t="s">
        <v>184</v>
      </c>
      <c r="B5476" s="4" t="str">
        <f>"2020030209"</f>
        <v>2020030209</v>
      </c>
      <c r="C5476" s="5">
        <v>59.1</v>
      </c>
      <c r="D5476" s="6">
        <v>63</v>
      </c>
      <c r="E5476" s="7">
        <f t="shared" si="85"/>
        <v>122.1</v>
      </c>
      <c r="F5476" s="8"/>
    </row>
    <row r="5477" spans="1:6" ht="18" customHeight="1">
      <c r="A5477" s="4" t="s">
        <v>184</v>
      </c>
      <c r="B5477" s="4" t="str">
        <f>"2020046917"</f>
        <v>2020046917</v>
      </c>
      <c r="C5477" s="5">
        <v>60.1</v>
      </c>
      <c r="D5477" s="6">
        <v>61.5</v>
      </c>
      <c r="E5477" s="7">
        <f t="shared" si="85"/>
        <v>121.6</v>
      </c>
      <c r="F5477" s="8"/>
    </row>
    <row r="5478" spans="1:6" ht="18" customHeight="1">
      <c r="A5478" s="4" t="s">
        <v>184</v>
      </c>
      <c r="B5478" s="4" t="str">
        <f>"2020012027"</f>
        <v>2020012027</v>
      </c>
      <c r="C5478" s="5">
        <v>60.5</v>
      </c>
      <c r="D5478" s="6">
        <v>60.5</v>
      </c>
      <c r="E5478" s="7">
        <f t="shared" si="85"/>
        <v>121</v>
      </c>
      <c r="F5478" s="8"/>
    </row>
    <row r="5479" spans="1:6" ht="18" customHeight="1">
      <c r="A5479" s="4" t="s">
        <v>184</v>
      </c>
      <c r="B5479" s="4" t="str">
        <f>"2020031517"</f>
        <v>2020031517</v>
      </c>
      <c r="C5479" s="5">
        <v>62.2</v>
      </c>
      <c r="D5479" s="6">
        <v>58</v>
      </c>
      <c r="E5479" s="7">
        <f t="shared" si="85"/>
        <v>120.2</v>
      </c>
      <c r="F5479" s="8"/>
    </row>
    <row r="5480" spans="1:6" ht="18" customHeight="1">
      <c r="A5480" s="4" t="s">
        <v>184</v>
      </c>
      <c r="B5480" s="4" t="str">
        <f>"2020032803"</f>
        <v>2020032803</v>
      </c>
      <c r="C5480" s="5">
        <v>53.9</v>
      </c>
      <c r="D5480" s="6">
        <v>66</v>
      </c>
      <c r="E5480" s="7">
        <f t="shared" si="85"/>
        <v>119.9</v>
      </c>
      <c r="F5480" s="8"/>
    </row>
    <row r="5481" spans="1:6" ht="18" customHeight="1">
      <c r="A5481" s="4" t="s">
        <v>184</v>
      </c>
      <c r="B5481" s="4" t="str">
        <f>"2020030326"</f>
        <v>2020030326</v>
      </c>
      <c r="C5481" s="5">
        <v>64.599999999999994</v>
      </c>
      <c r="D5481" s="6">
        <v>55</v>
      </c>
      <c r="E5481" s="7">
        <f t="shared" si="85"/>
        <v>119.6</v>
      </c>
      <c r="F5481" s="8"/>
    </row>
    <row r="5482" spans="1:6" ht="18" customHeight="1">
      <c r="A5482" s="4" t="s">
        <v>184</v>
      </c>
      <c r="B5482" s="4" t="str">
        <f>"2020043424"</f>
        <v>2020043424</v>
      </c>
      <c r="C5482" s="5">
        <v>52.1</v>
      </c>
      <c r="D5482" s="6">
        <v>67.5</v>
      </c>
      <c r="E5482" s="7">
        <f t="shared" si="85"/>
        <v>119.6</v>
      </c>
      <c r="F5482" s="8"/>
    </row>
    <row r="5483" spans="1:6" ht="18" customHeight="1">
      <c r="A5483" s="4" t="s">
        <v>184</v>
      </c>
      <c r="B5483" s="4" t="str">
        <f>"2020041727"</f>
        <v>2020041727</v>
      </c>
      <c r="C5483" s="5">
        <v>66.8</v>
      </c>
      <c r="D5483" s="6">
        <v>52.5</v>
      </c>
      <c r="E5483" s="7">
        <f t="shared" si="85"/>
        <v>119.3</v>
      </c>
      <c r="F5483" s="8"/>
    </row>
    <row r="5484" spans="1:6" ht="18" customHeight="1">
      <c r="A5484" s="4" t="s">
        <v>184</v>
      </c>
      <c r="B5484" s="4" t="str">
        <f>"2020043715"</f>
        <v>2020043715</v>
      </c>
      <c r="C5484" s="5">
        <v>57.6</v>
      </c>
      <c r="D5484" s="6">
        <v>61</v>
      </c>
      <c r="E5484" s="7">
        <f t="shared" si="85"/>
        <v>118.6</v>
      </c>
      <c r="F5484" s="8"/>
    </row>
    <row r="5485" spans="1:6" ht="18" customHeight="1">
      <c r="A5485" s="4" t="s">
        <v>184</v>
      </c>
      <c r="B5485" s="4" t="str">
        <f>"2020045819"</f>
        <v>2020045819</v>
      </c>
      <c r="C5485" s="5">
        <v>57.9</v>
      </c>
      <c r="D5485" s="6">
        <v>59</v>
      </c>
      <c r="E5485" s="7">
        <f t="shared" si="85"/>
        <v>116.9</v>
      </c>
      <c r="F5485" s="8"/>
    </row>
    <row r="5486" spans="1:6" ht="18" customHeight="1">
      <c r="A5486" s="4" t="s">
        <v>184</v>
      </c>
      <c r="B5486" s="4" t="str">
        <f>"2020011910"</f>
        <v>2020011910</v>
      </c>
      <c r="C5486" s="5">
        <v>57.3</v>
      </c>
      <c r="D5486" s="6">
        <v>58.5</v>
      </c>
      <c r="E5486" s="7">
        <f t="shared" si="85"/>
        <v>115.8</v>
      </c>
      <c r="F5486" s="8"/>
    </row>
    <row r="5487" spans="1:6" ht="18" customHeight="1">
      <c r="A5487" s="4" t="s">
        <v>184</v>
      </c>
      <c r="B5487" s="4" t="str">
        <f>"2020043023"</f>
        <v>2020043023</v>
      </c>
      <c r="C5487" s="5">
        <v>60.1</v>
      </c>
      <c r="D5487" s="6">
        <v>55.5</v>
      </c>
      <c r="E5487" s="7">
        <f t="shared" si="85"/>
        <v>115.6</v>
      </c>
      <c r="F5487" s="8"/>
    </row>
    <row r="5488" spans="1:6" ht="18" customHeight="1">
      <c r="A5488" s="4" t="s">
        <v>184</v>
      </c>
      <c r="B5488" s="4" t="str">
        <f>"2020022522"</f>
        <v>2020022522</v>
      </c>
      <c r="C5488" s="5">
        <v>59.6</v>
      </c>
      <c r="D5488" s="6">
        <v>55.5</v>
      </c>
      <c r="E5488" s="7">
        <f t="shared" si="85"/>
        <v>115.1</v>
      </c>
      <c r="F5488" s="8"/>
    </row>
    <row r="5489" spans="1:6" ht="18" customHeight="1">
      <c r="A5489" s="4" t="s">
        <v>184</v>
      </c>
      <c r="B5489" s="4" t="str">
        <f>"2020013506"</f>
        <v>2020013506</v>
      </c>
      <c r="C5489" s="5">
        <v>59.3</v>
      </c>
      <c r="D5489" s="6">
        <v>55.5</v>
      </c>
      <c r="E5489" s="7">
        <f t="shared" si="85"/>
        <v>114.8</v>
      </c>
      <c r="F5489" s="8"/>
    </row>
    <row r="5490" spans="1:6" ht="18" customHeight="1">
      <c r="A5490" s="4" t="s">
        <v>184</v>
      </c>
      <c r="B5490" s="4" t="str">
        <f>"2020022801"</f>
        <v>2020022801</v>
      </c>
      <c r="C5490" s="5">
        <v>62.1</v>
      </c>
      <c r="D5490" s="6">
        <v>52.5</v>
      </c>
      <c r="E5490" s="7">
        <f t="shared" si="85"/>
        <v>114.6</v>
      </c>
      <c r="F5490" s="8"/>
    </row>
    <row r="5491" spans="1:6" ht="18" customHeight="1">
      <c r="A5491" s="4" t="s">
        <v>184</v>
      </c>
      <c r="B5491" s="4" t="str">
        <f>"2020011612"</f>
        <v>2020011612</v>
      </c>
      <c r="C5491" s="5">
        <v>57.9</v>
      </c>
      <c r="D5491" s="6">
        <v>56.5</v>
      </c>
      <c r="E5491" s="7">
        <f t="shared" si="85"/>
        <v>114.4</v>
      </c>
      <c r="F5491" s="8"/>
    </row>
    <row r="5492" spans="1:6" ht="18" customHeight="1">
      <c r="A5492" s="4" t="s">
        <v>184</v>
      </c>
      <c r="B5492" s="4" t="str">
        <f>"2020043417"</f>
        <v>2020043417</v>
      </c>
      <c r="C5492" s="5">
        <v>62.5</v>
      </c>
      <c r="D5492" s="6">
        <v>51.5</v>
      </c>
      <c r="E5492" s="7">
        <f t="shared" si="85"/>
        <v>114</v>
      </c>
      <c r="F5492" s="8"/>
    </row>
    <row r="5493" spans="1:6" ht="18" customHeight="1">
      <c r="A5493" s="4" t="s">
        <v>184</v>
      </c>
      <c r="B5493" s="4" t="str">
        <f>"2020030526"</f>
        <v>2020030526</v>
      </c>
      <c r="C5493" s="5">
        <v>54.9</v>
      </c>
      <c r="D5493" s="6">
        <v>58.5</v>
      </c>
      <c r="E5493" s="7">
        <f t="shared" si="85"/>
        <v>113.4</v>
      </c>
      <c r="F5493" s="8"/>
    </row>
    <row r="5494" spans="1:6" ht="18" customHeight="1">
      <c r="A5494" s="4" t="s">
        <v>184</v>
      </c>
      <c r="B5494" s="4" t="str">
        <f>"2020040320"</f>
        <v>2020040320</v>
      </c>
      <c r="C5494" s="5">
        <v>56.8</v>
      </c>
      <c r="D5494" s="6">
        <v>55</v>
      </c>
      <c r="E5494" s="7">
        <f t="shared" si="85"/>
        <v>111.8</v>
      </c>
      <c r="F5494" s="8"/>
    </row>
    <row r="5495" spans="1:6" ht="18" customHeight="1">
      <c r="A5495" s="4" t="s">
        <v>184</v>
      </c>
      <c r="B5495" s="4" t="str">
        <f>"2020032924"</f>
        <v>2020032924</v>
      </c>
      <c r="C5495" s="5">
        <v>59.9</v>
      </c>
      <c r="D5495" s="6">
        <v>51</v>
      </c>
      <c r="E5495" s="7">
        <f t="shared" si="85"/>
        <v>110.9</v>
      </c>
      <c r="F5495" s="8"/>
    </row>
    <row r="5496" spans="1:6" ht="18" customHeight="1">
      <c r="A5496" s="4" t="s">
        <v>184</v>
      </c>
      <c r="B5496" s="4" t="str">
        <f>"2020042316"</f>
        <v>2020042316</v>
      </c>
      <c r="C5496" s="5">
        <v>66</v>
      </c>
      <c r="D5496" s="6">
        <v>44</v>
      </c>
      <c r="E5496" s="7">
        <f t="shared" si="85"/>
        <v>110</v>
      </c>
      <c r="F5496" s="8"/>
    </row>
    <row r="5497" spans="1:6" ht="18" customHeight="1">
      <c r="A5497" s="4" t="s">
        <v>184</v>
      </c>
      <c r="B5497" s="4" t="str">
        <f>"2020043815"</f>
        <v>2020043815</v>
      </c>
      <c r="C5497" s="5">
        <v>57.9</v>
      </c>
      <c r="D5497" s="6">
        <v>51.5</v>
      </c>
      <c r="E5497" s="7">
        <f t="shared" si="85"/>
        <v>109.4</v>
      </c>
      <c r="F5497" s="8"/>
    </row>
    <row r="5498" spans="1:6" ht="18" customHeight="1">
      <c r="A5498" s="4" t="s">
        <v>184</v>
      </c>
      <c r="B5498" s="4" t="str">
        <f>"2020034001"</f>
        <v>2020034001</v>
      </c>
      <c r="C5498" s="5">
        <v>52.3</v>
      </c>
      <c r="D5498" s="6">
        <v>55.5</v>
      </c>
      <c r="E5498" s="7">
        <f t="shared" si="85"/>
        <v>107.8</v>
      </c>
      <c r="F5498" s="8"/>
    </row>
    <row r="5499" spans="1:6" ht="18" customHeight="1">
      <c r="A5499" s="4" t="s">
        <v>184</v>
      </c>
      <c r="B5499" s="4" t="str">
        <f>"2020043705"</f>
        <v>2020043705</v>
      </c>
      <c r="C5499" s="5">
        <v>62.9</v>
      </c>
      <c r="D5499" s="6">
        <v>44.5</v>
      </c>
      <c r="E5499" s="7">
        <f t="shared" si="85"/>
        <v>107.4</v>
      </c>
      <c r="F5499" s="8"/>
    </row>
    <row r="5500" spans="1:6" ht="18" customHeight="1">
      <c r="A5500" s="4" t="s">
        <v>184</v>
      </c>
      <c r="B5500" s="4" t="str">
        <f>"2020031628"</f>
        <v>2020031628</v>
      </c>
      <c r="C5500" s="5">
        <v>66.3</v>
      </c>
      <c r="D5500" s="6">
        <v>40.5</v>
      </c>
      <c r="E5500" s="7">
        <f t="shared" si="85"/>
        <v>106.8</v>
      </c>
      <c r="F5500" s="8"/>
    </row>
    <row r="5501" spans="1:6" ht="18" customHeight="1">
      <c r="A5501" s="4" t="s">
        <v>184</v>
      </c>
      <c r="B5501" s="4" t="str">
        <f>"2020021021"</f>
        <v>2020021021</v>
      </c>
      <c r="C5501" s="5">
        <v>55.8</v>
      </c>
      <c r="D5501" s="6">
        <v>51</v>
      </c>
      <c r="E5501" s="7">
        <f t="shared" si="85"/>
        <v>106.8</v>
      </c>
      <c r="F5501" s="8"/>
    </row>
    <row r="5502" spans="1:6" ht="18" customHeight="1">
      <c r="A5502" s="4" t="s">
        <v>184</v>
      </c>
      <c r="B5502" s="4" t="str">
        <f>"2020032821"</f>
        <v>2020032821</v>
      </c>
      <c r="C5502" s="5">
        <v>57.5</v>
      </c>
      <c r="D5502" s="6">
        <v>48.5</v>
      </c>
      <c r="E5502" s="7">
        <f t="shared" si="85"/>
        <v>106</v>
      </c>
      <c r="F5502" s="8"/>
    </row>
    <row r="5503" spans="1:6" ht="18" customHeight="1">
      <c r="A5503" s="4" t="s">
        <v>184</v>
      </c>
      <c r="B5503" s="4" t="str">
        <f>"2020020112"</f>
        <v>2020020112</v>
      </c>
      <c r="C5503" s="5">
        <v>48.4</v>
      </c>
      <c r="D5503" s="6">
        <v>57</v>
      </c>
      <c r="E5503" s="7">
        <f t="shared" si="85"/>
        <v>105.4</v>
      </c>
      <c r="F5503" s="8"/>
    </row>
    <row r="5504" spans="1:6" ht="18" customHeight="1">
      <c r="A5504" s="4" t="s">
        <v>184</v>
      </c>
      <c r="B5504" s="4" t="str">
        <f>"2020010820"</f>
        <v>2020010820</v>
      </c>
      <c r="C5504" s="5">
        <v>57.8</v>
      </c>
      <c r="D5504" s="6">
        <v>47.5</v>
      </c>
      <c r="E5504" s="7">
        <f t="shared" si="85"/>
        <v>105.3</v>
      </c>
      <c r="F5504" s="8"/>
    </row>
    <row r="5505" spans="1:6" ht="18" customHeight="1">
      <c r="A5505" s="4" t="s">
        <v>184</v>
      </c>
      <c r="B5505" s="4" t="str">
        <f>"2020031015"</f>
        <v>2020031015</v>
      </c>
      <c r="C5505" s="5">
        <v>57.7</v>
      </c>
      <c r="D5505" s="6">
        <v>46.5</v>
      </c>
      <c r="E5505" s="7">
        <f t="shared" si="85"/>
        <v>104.2</v>
      </c>
      <c r="F5505" s="8"/>
    </row>
    <row r="5506" spans="1:6" ht="18" customHeight="1">
      <c r="A5506" s="4" t="s">
        <v>184</v>
      </c>
      <c r="B5506" s="4" t="str">
        <f>"2020023812"</f>
        <v>2020023812</v>
      </c>
      <c r="C5506" s="5">
        <v>53.6</v>
      </c>
      <c r="D5506" s="6">
        <v>49</v>
      </c>
      <c r="E5506" s="7">
        <f t="shared" si="85"/>
        <v>102.6</v>
      </c>
      <c r="F5506" s="8"/>
    </row>
    <row r="5507" spans="1:6" ht="18" customHeight="1">
      <c r="A5507" s="4" t="s">
        <v>184</v>
      </c>
      <c r="B5507" s="4" t="str">
        <f>"2020044919"</f>
        <v>2020044919</v>
      </c>
      <c r="C5507" s="5">
        <v>57</v>
      </c>
      <c r="D5507" s="6">
        <v>45.5</v>
      </c>
      <c r="E5507" s="7">
        <f t="shared" ref="E5507:E5570" si="86">SUM(C5507:D5507)</f>
        <v>102.5</v>
      </c>
      <c r="F5507" s="8"/>
    </row>
    <row r="5508" spans="1:6" ht="18" customHeight="1">
      <c r="A5508" s="4" t="s">
        <v>184</v>
      </c>
      <c r="B5508" s="4" t="str">
        <f>"2020042816"</f>
        <v>2020042816</v>
      </c>
      <c r="C5508" s="5">
        <v>54.8</v>
      </c>
      <c r="D5508" s="6">
        <v>47</v>
      </c>
      <c r="E5508" s="7">
        <f t="shared" si="86"/>
        <v>101.8</v>
      </c>
      <c r="F5508" s="8"/>
    </row>
    <row r="5509" spans="1:6" ht="18" customHeight="1">
      <c r="A5509" s="4" t="s">
        <v>184</v>
      </c>
      <c r="B5509" s="4" t="str">
        <f>"2020043726"</f>
        <v>2020043726</v>
      </c>
      <c r="C5509" s="5">
        <v>52.2</v>
      </c>
      <c r="D5509" s="6">
        <v>49.5</v>
      </c>
      <c r="E5509" s="7">
        <f t="shared" si="86"/>
        <v>101.7</v>
      </c>
      <c r="F5509" s="8"/>
    </row>
    <row r="5510" spans="1:6" ht="18" customHeight="1">
      <c r="A5510" s="4" t="s">
        <v>184</v>
      </c>
      <c r="B5510" s="4" t="str">
        <f>"2020046128"</f>
        <v>2020046128</v>
      </c>
      <c r="C5510" s="5">
        <v>54.1</v>
      </c>
      <c r="D5510" s="6">
        <v>45.5</v>
      </c>
      <c r="E5510" s="7">
        <f t="shared" si="86"/>
        <v>99.6</v>
      </c>
      <c r="F5510" s="8"/>
    </row>
    <row r="5511" spans="1:6" ht="18" customHeight="1">
      <c r="A5511" s="4" t="s">
        <v>184</v>
      </c>
      <c r="B5511" s="4" t="str">
        <f>"2020013004"</f>
        <v>2020013004</v>
      </c>
      <c r="C5511" s="5">
        <v>49.6</v>
      </c>
      <c r="D5511" s="6">
        <v>50</v>
      </c>
      <c r="E5511" s="7">
        <f t="shared" si="86"/>
        <v>99.6</v>
      </c>
      <c r="F5511" s="8"/>
    </row>
    <row r="5512" spans="1:6" ht="18" customHeight="1">
      <c r="A5512" s="4" t="s">
        <v>184</v>
      </c>
      <c r="B5512" s="4" t="str">
        <f>"2020041104"</f>
        <v>2020041104</v>
      </c>
      <c r="C5512" s="5">
        <v>42.8</v>
      </c>
      <c r="D5512" s="6">
        <v>54.5</v>
      </c>
      <c r="E5512" s="7">
        <f t="shared" si="86"/>
        <v>97.3</v>
      </c>
      <c r="F5512" s="9"/>
    </row>
    <row r="5513" spans="1:6" ht="18" customHeight="1">
      <c r="A5513" s="4" t="s">
        <v>184</v>
      </c>
      <c r="B5513" s="4" t="str">
        <f>"2020024726"</f>
        <v>2020024726</v>
      </c>
      <c r="C5513" s="5">
        <v>52.8</v>
      </c>
      <c r="D5513" s="6">
        <v>38</v>
      </c>
      <c r="E5513" s="7">
        <f t="shared" si="86"/>
        <v>90.8</v>
      </c>
      <c r="F5513" s="8"/>
    </row>
    <row r="5514" spans="1:6" ht="18" customHeight="1">
      <c r="A5514" s="4" t="s">
        <v>184</v>
      </c>
      <c r="B5514" s="4" t="str">
        <f>"2020020608"</f>
        <v>2020020608</v>
      </c>
      <c r="C5514" s="5">
        <v>53.8</v>
      </c>
      <c r="D5514" s="6">
        <v>32.5</v>
      </c>
      <c r="E5514" s="7">
        <f t="shared" si="86"/>
        <v>86.3</v>
      </c>
      <c r="F5514" s="8"/>
    </row>
    <row r="5515" spans="1:6" ht="18" customHeight="1">
      <c r="A5515" s="4" t="s">
        <v>184</v>
      </c>
      <c r="B5515" s="4" t="str">
        <f>"2020013903"</f>
        <v>2020013903</v>
      </c>
      <c r="C5515" s="5">
        <v>42.8</v>
      </c>
      <c r="D5515" s="6">
        <v>40.5</v>
      </c>
      <c r="E5515" s="7">
        <f t="shared" si="86"/>
        <v>83.3</v>
      </c>
      <c r="F5515" s="8"/>
    </row>
    <row r="5516" spans="1:6" ht="18" customHeight="1">
      <c r="A5516" s="4" t="s">
        <v>184</v>
      </c>
      <c r="B5516" s="4" t="str">
        <f>"2020045306"</f>
        <v>2020045306</v>
      </c>
      <c r="C5516" s="5">
        <v>45.6</v>
      </c>
      <c r="D5516" s="6">
        <v>33</v>
      </c>
      <c r="E5516" s="7">
        <f t="shared" si="86"/>
        <v>78.599999999999994</v>
      </c>
      <c r="F5516" s="8"/>
    </row>
    <row r="5517" spans="1:6" ht="18" customHeight="1">
      <c r="A5517" s="4" t="s">
        <v>184</v>
      </c>
      <c r="B5517" s="4" t="str">
        <f>"2020042521"</f>
        <v>2020042521</v>
      </c>
      <c r="C5517" s="5">
        <v>45.5</v>
      </c>
      <c r="D5517" s="6">
        <v>19</v>
      </c>
      <c r="E5517" s="7">
        <f t="shared" si="86"/>
        <v>64.5</v>
      </c>
      <c r="F5517" s="8"/>
    </row>
    <row r="5518" spans="1:6" ht="18" customHeight="1">
      <c r="A5518" s="4" t="s">
        <v>184</v>
      </c>
      <c r="B5518" s="4" t="str">
        <f>"2020047330"</f>
        <v>2020047330</v>
      </c>
      <c r="C5518" s="5">
        <v>24.6</v>
      </c>
      <c r="D5518" s="6">
        <v>34</v>
      </c>
      <c r="E5518" s="7">
        <f t="shared" si="86"/>
        <v>58.6</v>
      </c>
      <c r="F5518" s="9"/>
    </row>
    <row r="5519" spans="1:6" ht="18" customHeight="1">
      <c r="A5519" s="4" t="s">
        <v>184</v>
      </c>
      <c r="B5519" s="4" t="str">
        <f>"2020011803"</f>
        <v>2020011803</v>
      </c>
      <c r="C5519" s="5">
        <v>0</v>
      </c>
      <c r="D5519" s="6">
        <v>0</v>
      </c>
      <c r="E5519" s="7">
        <f t="shared" si="86"/>
        <v>0</v>
      </c>
      <c r="F5519" s="9" t="s">
        <v>8</v>
      </c>
    </row>
    <row r="5520" spans="1:6" ht="18" customHeight="1">
      <c r="A5520" s="4" t="s">
        <v>184</v>
      </c>
      <c r="B5520" s="4" t="str">
        <f>"2020011929"</f>
        <v>2020011929</v>
      </c>
      <c r="C5520" s="5">
        <v>0</v>
      </c>
      <c r="D5520" s="6">
        <v>0</v>
      </c>
      <c r="E5520" s="7">
        <f t="shared" si="86"/>
        <v>0</v>
      </c>
      <c r="F5520" s="9" t="s">
        <v>8</v>
      </c>
    </row>
    <row r="5521" spans="1:6" ht="18" customHeight="1">
      <c r="A5521" s="4" t="s">
        <v>184</v>
      </c>
      <c r="B5521" s="4" t="str">
        <f>"2020020524"</f>
        <v>2020020524</v>
      </c>
      <c r="C5521" s="5">
        <v>0</v>
      </c>
      <c r="D5521" s="6">
        <v>0</v>
      </c>
      <c r="E5521" s="7">
        <f t="shared" si="86"/>
        <v>0</v>
      </c>
      <c r="F5521" s="8" t="s">
        <v>8</v>
      </c>
    </row>
    <row r="5522" spans="1:6" ht="18" customHeight="1">
      <c r="A5522" s="4" t="s">
        <v>184</v>
      </c>
      <c r="B5522" s="4" t="str">
        <f>"2020020611"</f>
        <v>2020020611</v>
      </c>
      <c r="C5522" s="5">
        <v>0</v>
      </c>
      <c r="D5522" s="6">
        <v>0</v>
      </c>
      <c r="E5522" s="7">
        <f t="shared" si="86"/>
        <v>0</v>
      </c>
      <c r="F5522" s="8" t="s">
        <v>8</v>
      </c>
    </row>
    <row r="5523" spans="1:6" ht="18" customHeight="1">
      <c r="A5523" s="4" t="s">
        <v>184</v>
      </c>
      <c r="B5523" s="4" t="str">
        <f>"2020020811"</f>
        <v>2020020811</v>
      </c>
      <c r="C5523" s="5">
        <v>0</v>
      </c>
      <c r="D5523" s="6">
        <v>0</v>
      </c>
      <c r="E5523" s="7">
        <f t="shared" si="86"/>
        <v>0</v>
      </c>
      <c r="F5523" s="8" t="s">
        <v>8</v>
      </c>
    </row>
    <row r="5524" spans="1:6" ht="18" customHeight="1">
      <c r="A5524" s="4" t="s">
        <v>184</v>
      </c>
      <c r="B5524" s="4" t="str">
        <f>"2020021312"</f>
        <v>2020021312</v>
      </c>
      <c r="C5524" s="5">
        <v>0</v>
      </c>
      <c r="D5524" s="6">
        <v>0</v>
      </c>
      <c r="E5524" s="7">
        <f t="shared" si="86"/>
        <v>0</v>
      </c>
      <c r="F5524" s="8" t="s">
        <v>8</v>
      </c>
    </row>
    <row r="5525" spans="1:6" ht="18" customHeight="1">
      <c r="A5525" s="4" t="s">
        <v>184</v>
      </c>
      <c r="B5525" s="4" t="str">
        <f>"2020021419"</f>
        <v>2020021419</v>
      </c>
      <c r="C5525" s="5">
        <v>0</v>
      </c>
      <c r="D5525" s="6">
        <v>0</v>
      </c>
      <c r="E5525" s="7">
        <f t="shared" si="86"/>
        <v>0</v>
      </c>
      <c r="F5525" s="8" t="s">
        <v>8</v>
      </c>
    </row>
    <row r="5526" spans="1:6" ht="18" customHeight="1">
      <c r="A5526" s="4" t="s">
        <v>184</v>
      </c>
      <c r="B5526" s="4" t="str">
        <f>"2020022726"</f>
        <v>2020022726</v>
      </c>
      <c r="C5526" s="5">
        <v>0</v>
      </c>
      <c r="D5526" s="6">
        <v>0</v>
      </c>
      <c r="E5526" s="7">
        <f t="shared" si="86"/>
        <v>0</v>
      </c>
      <c r="F5526" s="8" t="s">
        <v>8</v>
      </c>
    </row>
    <row r="5527" spans="1:6" ht="18" customHeight="1">
      <c r="A5527" s="4" t="s">
        <v>184</v>
      </c>
      <c r="B5527" s="4" t="str">
        <f>"2020022809"</f>
        <v>2020022809</v>
      </c>
      <c r="C5527" s="5">
        <v>0</v>
      </c>
      <c r="D5527" s="6">
        <v>0</v>
      </c>
      <c r="E5527" s="7">
        <f t="shared" si="86"/>
        <v>0</v>
      </c>
      <c r="F5527" s="8" t="s">
        <v>8</v>
      </c>
    </row>
    <row r="5528" spans="1:6" ht="18" customHeight="1">
      <c r="A5528" s="4" t="s">
        <v>184</v>
      </c>
      <c r="B5528" s="4" t="str">
        <f>"2020024809"</f>
        <v>2020024809</v>
      </c>
      <c r="C5528" s="5">
        <v>0</v>
      </c>
      <c r="D5528" s="6">
        <v>0</v>
      </c>
      <c r="E5528" s="7">
        <f t="shared" si="86"/>
        <v>0</v>
      </c>
      <c r="F5528" s="8" t="s">
        <v>8</v>
      </c>
    </row>
    <row r="5529" spans="1:6" ht="18" customHeight="1">
      <c r="A5529" s="4" t="s">
        <v>184</v>
      </c>
      <c r="B5529" s="4" t="str">
        <f>"2020030109"</f>
        <v>2020030109</v>
      </c>
      <c r="C5529" s="5">
        <v>0</v>
      </c>
      <c r="D5529" s="6">
        <v>0</v>
      </c>
      <c r="E5529" s="7">
        <f t="shared" si="86"/>
        <v>0</v>
      </c>
      <c r="F5529" s="8" t="s">
        <v>8</v>
      </c>
    </row>
    <row r="5530" spans="1:6" ht="18" customHeight="1">
      <c r="A5530" s="4" t="s">
        <v>184</v>
      </c>
      <c r="B5530" s="4" t="str">
        <f>"2020030424"</f>
        <v>2020030424</v>
      </c>
      <c r="C5530" s="5">
        <v>0</v>
      </c>
      <c r="D5530" s="6">
        <v>0</v>
      </c>
      <c r="E5530" s="7">
        <f t="shared" si="86"/>
        <v>0</v>
      </c>
      <c r="F5530" s="8" t="s">
        <v>8</v>
      </c>
    </row>
    <row r="5531" spans="1:6" ht="18" customHeight="1">
      <c r="A5531" s="4" t="s">
        <v>184</v>
      </c>
      <c r="B5531" s="4" t="str">
        <f>"2020030930"</f>
        <v>2020030930</v>
      </c>
      <c r="C5531" s="5">
        <v>0</v>
      </c>
      <c r="D5531" s="6">
        <v>0</v>
      </c>
      <c r="E5531" s="7">
        <f t="shared" si="86"/>
        <v>0</v>
      </c>
      <c r="F5531" s="8" t="s">
        <v>8</v>
      </c>
    </row>
    <row r="5532" spans="1:6" ht="18" customHeight="1">
      <c r="A5532" s="4" t="s">
        <v>184</v>
      </c>
      <c r="B5532" s="4" t="str">
        <f>"2020031228"</f>
        <v>2020031228</v>
      </c>
      <c r="C5532" s="5">
        <v>0</v>
      </c>
      <c r="D5532" s="6">
        <v>0</v>
      </c>
      <c r="E5532" s="7">
        <f t="shared" si="86"/>
        <v>0</v>
      </c>
      <c r="F5532" s="8" t="s">
        <v>8</v>
      </c>
    </row>
    <row r="5533" spans="1:6" ht="18" customHeight="1">
      <c r="A5533" s="4" t="s">
        <v>184</v>
      </c>
      <c r="B5533" s="4" t="str">
        <f>"2020031315"</f>
        <v>2020031315</v>
      </c>
      <c r="C5533" s="5">
        <v>0</v>
      </c>
      <c r="D5533" s="6">
        <v>0</v>
      </c>
      <c r="E5533" s="7">
        <f t="shared" si="86"/>
        <v>0</v>
      </c>
      <c r="F5533" s="8" t="s">
        <v>8</v>
      </c>
    </row>
    <row r="5534" spans="1:6" ht="18" customHeight="1">
      <c r="A5534" s="4" t="s">
        <v>184</v>
      </c>
      <c r="B5534" s="4" t="str">
        <f>"2020032117"</f>
        <v>2020032117</v>
      </c>
      <c r="C5534" s="5">
        <v>0</v>
      </c>
      <c r="D5534" s="6">
        <v>0</v>
      </c>
      <c r="E5534" s="7">
        <f t="shared" si="86"/>
        <v>0</v>
      </c>
      <c r="F5534" s="8" t="s">
        <v>8</v>
      </c>
    </row>
    <row r="5535" spans="1:6" ht="18" customHeight="1">
      <c r="A5535" s="4" t="s">
        <v>184</v>
      </c>
      <c r="B5535" s="4" t="str">
        <f>"2020032224"</f>
        <v>2020032224</v>
      </c>
      <c r="C5535" s="5">
        <v>0</v>
      </c>
      <c r="D5535" s="6">
        <v>0</v>
      </c>
      <c r="E5535" s="7">
        <f t="shared" si="86"/>
        <v>0</v>
      </c>
      <c r="F5535" s="8" t="s">
        <v>8</v>
      </c>
    </row>
    <row r="5536" spans="1:6" ht="18" customHeight="1">
      <c r="A5536" s="4" t="s">
        <v>184</v>
      </c>
      <c r="B5536" s="4" t="str">
        <f>"2020032627"</f>
        <v>2020032627</v>
      </c>
      <c r="C5536" s="5">
        <v>0</v>
      </c>
      <c r="D5536" s="6">
        <v>0</v>
      </c>
      <c r="E5536" s="7">
        <f t="shared" si="86"/>
        <v>0</v>
      </c>
      <c r="F5536" s="8" t="s">
        <v>8</v>
      </c>
    </row>
    <row r="5537" spans="1:6" ht="18" customHeight="1">
      <c r="A5537" s="4" t="s">
        <v>184</v>
      </c>
      <c r="B5537" s="4" t="str">
        <f>"2020033229"</f>
        <v>2020033229</v>
      </c>
      <c r="C5537" s="5">
        <v>0</v>
      </c>
      <c r="D5537" s="6">
        <v>0</v>
      </c>
      <c r="E5537" s="7">
        <f t="shared" si="86"/>
        <v>0</v>
      </c>
      <c r="F5537" s="8" t="s">
        <v>8</v>
      </c>
    </row>
    <row r="5538" spans="1:6" ht="18" customHeight="1">
      <c r="A5538" s="4" t="s">
        <v>184</v>
      </c>
      <c r="B5538" s="4" t="str">
        <f>"2020033612"</f>
        <v>2020033612</v>
      </c>
      <c r="C5538" s="5">
        <v>0</v>
      </c>
      <c r="D5538" s="6">
        <v>0</v>
      </c>
      <c r="E5538" s="7">
        <f t="shared" si="86"/>
        <v>0</v>
      </c>
      <c r="F5538" s="8" t="s">
        <v>8</v>
      </c>
    </row>
    <row r="5539" spans="1:6" ht="18" customHeight="1">
      <c r="A5539" s="4" t="s">
        <v>184</v>
      </c>
      <c r="B5539" s="4" t="str">
        <f>"2020040410"</f>
        <v>2020040410</v>
      </c>
      <c r="C5539" s="5">
        <v>0</v>
      </c>
      <c r="D5539" s="6">
        <v>0</v>
      </c>
      <c r="E5539" s="7">
        <f t="shared" si="86"/>
        <v>0</v>
      </c>
      <c r="F5539" s="8" t="s">
        <v>8</v>
      </c>
    </row>
    <row r="5540" spans="1:6" ht="18" customHeight="1">
      <c r="A5540" s="4" t="s">
        <v>184</v>
      </c>
      <c r="B5540" s="4" t="str">
        <f>"2020042016"</f>
        <v>2020042016</v>
      </c>
      <c r="C5540" s="5">
        <v>0</v>
      </c>
      <c r="D5540" s="6">
        <v>0</v>
      </c>
      <c r="E5540" s="7">
        <f t="shared" si="86"/>
        <v>0</v>
      </c>
      <c r="F5540" s="8" t="s">
        <v>8</v>
      </c>
    </row>
    <row r="5541" spans="1:6" ht="18" customHeight="1">
      <c r="A5541" s="4" t="s">
        <v>184</v>
      </c>
      <c r="B5541" s="4" t="str">
        <f>"2020042911"</f>
        <v>2020042911</v>
      </c>
      <c r="C5541" s="5">
        <v>0</v>
      </c>
      <c r="D5541" s="6">
        <v>0</v>
      </c>
      <c r="E5541" s="7">
        <f t="shared" si="86"/>
        <v>0</v>
      </c>
      <c r="F5541" s="8" t="s">
        <v>8</v>
      </c>
    </row>
    <row r="5542" spans="1:6" ht="18" customHeight="1">
      <c r="A5542" s="4" t="s">
        <v>184</v>
      </c>
      <c r="B5542" s="4" t="str">
        <f>"2020043729"</f>
        <v>2020043729</v>
      </c>
      <c r="C5542" s="5">
        <v>0</v>
      </c>
      <c r="D5542" s="6">
        <v>0</v>
      </c>
      <c r="E5542" s="7">
        <f t="shared" si="86"/>
        <v>0</v>
      </c>
      <c r="F5542" s="8" t="s">
        <v>8</v>
      </c>
    </row>
    <row r="5543" spans="1:6" ht="18" customHeight="1">
      <c r="A5543" s="4" t="s">
        <v>184</v>
      </c>
      <c r="B5543" s="4" t="str">
        <f>"2020044123"</f>
        <v>2020044123</v>
      </c>
      <c r="C5543" s="5">
        <v>0</v>
      </c>
      <c r="D5543" s="6">
        <v>0</v>
      </c>
      <c r="E5543" s="7">
        <f t="shared" si="86"/>
        <v>0</v>
      </c>
      <c r="F5543" s="8" t="s">
        <v>8</v>
      </c>
    </row>
    <row r="5544" spans="1:6" ht="18" customHeight="1">
      <c r="A5544" s="4" t="s">
        <v>184</v>
      </c>
      <c r="B5544" s="4" t="str">
        <f>"2020044221"</f>
        <v>2020044221</v>
      </c>
      <c r="C5544" s="5">
        <v>0</v>
      </c>
      <c r="D5544" s="6">
        <v>0</v>
      </c>
      <c r="E5544" s="7">
        <f t="shared" si="86"/>
        <v>0</v>
      </c>
      <c r="F5544" s="8" t="s">
        <v>8</v>
      </c>
    </row>
    <row r="5545" spans="1:6" ht="18" customHeight="1">
      <c r="A5545" s="4" t="s">
        <v>184</v>
      </c>
      <c r="B5545" s="4" t="str">
        <f>"2020046207"</f>
        <v>2020046207</v>
      </c>
      <c r="C5545" s="5">
        <v>0</v>
      </c>
      <c r="D5545" s="6">
        <v>0</v>
      </c>
      <c r="E5545" s="7">
        <f t="shared" si="86"/>
        <v>0</v>
      </c>
      <c r="F5545" s="8" t="s">
        <v>8</v>
      </c>
    </row>
    <row r="5546" spans="1:6" ht="18" customHeight="1">
      <c r="A5546" s="4" t="s">
        <v>184</v>
      </c>
      <c r="B5546" s="4" t="str">
        <f>"2020046430"</f>
        <v>2020046430</v>
      </c>
      <c r="C5546" s="5">
        <v>0</v>
      </c>
      <c r="D5546" s="6">
        <v>0</v>
      </c>
      <c r="E5546" s="7">
        <f t="shared" si="86"/>
        <v>0</v>
      </c>
      <c r="F5546" s="8" t="s">
        <v>8</v>
      </c>
    </row>
    <row r="5547" spans="1:6" ht="18" customHeight="1">
      <c r="A5547" s="4" t="s">
        <v>184</v>
      </c>
      <c r="B5547" s="4" t="str">
        <f>"2020046823"</f>
        <v>2020046823</v>
      </c>
      <c r="C5547" s="5">
        <v>0</v>
      </c>
      <c r="D5547" s="6">
        <v>0</v>
      </c>
      <c r="E5547" s="7">
        <f t="shared" si="86"/>
        <v>0</v>
      </c>
      <c r="F5547" s="8" t="s">
        <v>8</v>
      </c>
    </row>
    <row r="5548" spans="1:6" ht="18" customHeight="1">
      <c r="A5548" s="4" t="s">
        <v>184</v>
      </c>
      <c r="B5548" s="4" t="str">
        <f>"2020047201"</f>
        <v>2020047201</v>
      </c>
      <c r="C5548" s="5">
        <v>0</v>
      </c>
      <c r="D5548" s="6">
        <v>0</v>
      </c>
      <c r="E5548" s="7">
        <f t="shared" si="86"/>
        <v>0</v>
      </c>
      <c r="F5548" s="8" t="s">
        <v>8</v>
      </c>
    </row>
    <row r="5549" spans="1:6" ht="18" customHeight="1">
      <c r="A5549" s="4" t="s">
        <v>185</v>
      </c>
      <c r="B5549" s="4" t="str">
        <f>"2020034013"</f>
        <v>2020034013</v>
      </c>
      <c r="C5549" s="5">
        <v>76.099999999999994</v>
      </c>
      <c r="D5549" s="6">
        <v>75.5</v>
      </c>
      <c r="E5549" s="7">
        <f t="shared" si="86"/>
        <v>151.6</v>
      </c>
      <c r="F5549" s="8"/>
    </row>
    <row r="5550" spans="1:6" ht="18" customHeight="1">
      <c r="A5550" s="4" t="s">
        <v>185</v>
      </c>
      <c r="B5550" s="4" t="str">
        <f>"2020045708"</f>
        <v>2020045708</v>
      </c>
      <c r="C5550" s="5">
        <v>68.5</v>
      </c>
      <c r="D5550" s="6">
        <v>79</v>
      </c>
      <c r="E5550" s="7">
        <f t="shared" si="86"/>
        <v>147.5</v>
      </c>
      <c r="F5550" s="8"/>
    </row>
    <row r="5551" spans="1:6" ht="18" customHeight="1">
      <c r="A5551" s="4" t="s">
        <v>185</v>
      </c>
      <c r="B5551" s="4" t="str">
        <f>"2020043319"</f>
        <v>2020043319</v>
      </c>
      <c r="C5551" s="5">
        <v>72.3</v>
      </c>
      <c r="D5551" s="6">
        <v>74</v>
      </c>
      <c r="E5551" s="7">
        <f t="shared" si="86"/>
        <v>146.30000000000001</v>
      </c>
      <c r="F5551" s="8"/>
    </row>
    <row r="5552" spans="1:6" ht="18" customHeight="1">
      <c r="A5552" s="4" t="s">
        <v>185</v>
      </c>
      <c r="B5552" s="4" t="str">
        <f>"2020010310"</f>
        <v>2020010310</v>
      </c>
      <c r="C5552" s="5">
        <v>70.599999999999994</v>
      </c>
      <c r="D5552" s="6">
        <v>75.5</v>
      </c>
      <c r="E5552" s="7">
        <f t="shared" si="86"/>
        <v>146.1</v>
      </c>
      <c r="F5552" s="8"/>
    </row>
    <row r="5553" spans="1:6" ht="18" customHeight="1">
      <c r="A5553" s="4" t="s">
        <v>185</v>
      </c>
      <c r="B5553" s="4" t="str">
        <f>"2020020707"</f>
        <v>2020020707</v>
      </c>
      <c r="C5553" s="5">
        <v>68.400000000000006</v>
      </c>
      <c r="D5553" s="6">
        <v>77.5</v>
      </c>
      <c r="E5553" s="7">
        <f t="shared" si="86"/>
        <v>145.9</v>
      </c>
      <c r="F5553" s="8"/>
    </row>
    <row r="5554" spans="1:6" ht="18" customHeight="1">
      <c r="A5554" s="4" t="s">
        <v>185</v>
      </c>
      <c r="B5554" s="4" t="str">
        <f>"2020032007"</f>
        <v>2020032007</v>
      </c>
      <c r="C5554" s="5">
        <v>70.7</v>
      </c>
      <c r="D5554" s="6">
        <v>75</v>
      </c>
      <c r="E5554" s="7">
        <f t="shared" si="86"/>
        <v>145.69999999999999</v>
      </c>
      <c r="F5554" s="8"/>
    </row>
    <row r="5555" spans="1:6" ht="18" customHeight="1">
      <c r="A5555" s="4" t="s">
        <v>185</v>
      </c>
      <c r="B5555" s="4" t="str">
        <f>"2020045222"</f>
        <v>2020045222</v>
      </c>
      <c r="C5555" s="5">
        <v>65.900000000000006</v>
      </c>
      <c r="D5555" s="6">
        <v>76.5</v>
      </c>
      <c r="E5555" s="7">
        <f t="shared" si="86"/>
        <v>142.4</v>
      </c>
      <c r="F5555" s="8"/>
    </row>
    <row r="5556" spans="1:6" ht="18" customHeight="1">
      <c r="A5556" s="4" t="s">
        <v>185</v>
      </c>
      <c r="B5556" s="4" t="str">
        <f>"2020010915"</f>
        <v>2020010915</v>
      </c>
      <c r="C5556" s="5">
        <v>68.5</v>
      </c>
      <c r="D5556" s="6">
        <v>72</v>
      </c>
      <c r="E5556" s="7">
        <f t="shared" si="86"/>
        <v>140.5</v>
      </c>
      <c r="F5556" s="8"/>
    </row>
    <row r="5557" spans="1:6" ht="18" customHeight="1">
      <c r="A5557" s="4" t="s">
        <v>185</v>
      </c>
      <c r="B5557" s="4" t="str">
        <f>"2020041010"</f>
        <v>2020041010</v>
      </c>
      <c r="C5557" s="5">
        <v>70.8</v>
      </c>
      <c r="D5557" s="6">
        <v>68.5</v>
      </c>
      <c r="E5557" s="7">
        <f t="shared" si="86"/>
        <v>139.30000000000001</v>
      </c>
      <c r="F5557" s="8"/>
    </row>
    <row r="5558" spans="1:6" ht="18" customHeight="1">
      <c r="A5558" s="4" t="s">
        <v>185</v>
      </c>
      <c r="B5558" s="4" t="str">
        <f>"2020024224"</f>
        <v>2020024224</v>
      </c>
      <c r="C5558" s="5">
        <v>64.599999999999994</v>
      </c>
      <c r="D5558" s="6">
        <v>74.5</v>
      </c>
      <c r="E5558" s="7">
        <f t="shared" si="86"/>
        <v>139.1</v>
      </c>
      <c r="F5558" s="8"/>
    </row>
    <row r="5559" spans="1:6" ht="18" customHeight="1">
      <c r="A5559" s="4" t="s">
        <v>185</v>
      </c>
      <c r="B5559" s="4" t="str">
        <f>"2020045821"</f>
        <v>2020045821</v>
      </c>
      <c r="C5559" s="5">
        <v>62.1</v>
      </c>
      <c r="D5559" s="6">
        <v>73</v>
      </c>
      <c r="E5559" s="7">
        <f t="shared" si="86"/>
        <v>135.1</v>
      </c>
      <c r="F5559" s="8"/>
    </row>
    <row r="5560" spans="1:6" ht="18" customHeight="1">
      <c r="A5560" s="4" t="s">
        <v>185</v>
      </c>
      <c r="B5560" s="4" t="str">
        <f>"2020023801"</f>
        <v>2020023801</v>
      </c>
      <c r="C5560" s="5">
        <v>64.3</v>
      </c>
      <c r="D5560" s="6">
        <v>66</v>
      </c>
      <c r="E5560" s="7">
        <f t="shared" si="86"/>
        <v>130.30000000000001</v>
      </c>
      <c r="F5560" s="8"/>
    </row>
    <row r="5561" spans="1:6" ht="18" customHeight="1">
      <c r="A5561" s="4" t="s">
        <v>185</v>
      </c>
      <c r="B5561" s="4" t="str">
        <f>"2020010421"</f>
        <v>2020010421</v>
      </c>
      <c r="C5561" s="5">
        <v>60.5</v>
      </c>
      <c r="D5561" s="6">
        <v>69</v>
      </c>
      <c r="E5561" s="7">
        <f t="shared" si="86"/>
        <v>129.5</v>
      </c>
      <c r="F5561" s="8"/>
    </row>
    <row r="5562" spans="1:6" ht="18" customHeight="1">
      <c r="A5562" s="4" t="s">
        <v>185</v>
      </c>
      <c r="B5562" s="4" t="str">
        <f>"2020011713"</f>
        <v>2020011713</v>
      </c>
      <c r="C5562" s="5">
        <v>64.099999999999994</v>
      </c>
      <c r="D5562" s="6">
        <v>62</v>
      </c>
      <c r="E5562" s="7">
        <f t="shared" si="86"/>
        <v>126.1</v>
      </c>
      <c r="F5562" s="8"/>
    </row>
    <row r="5563" spans="1:6" ht="18" customHeight="1">
      <c r="A5563" s="4" t="s">
        <v>185</v>
      </c>
      <c r="B5563" s="4" t="str">
        <f>"2020010501"</f>
        <v>2020010501</v>
      </c>
      <c r="C5563" s="5">
        <v>0</v>
      </c>
      <c r="D5563" s="6">
        <v>0</v>
      </c>
      <c r="E5563" s="7">
        <f t="shared" si="86"/>
        <v>0</v>
      </c>
      <c r="F5563" s="9" t="s">
        <v>8</v>
      </c>
    </row>
    <row r="5564" spans="1:6" ht="18" customHeight="1">
      <c r="A5564" s="4" t="s">
        <v>185</v>
      </c>
      <c r="B5564" s="4" t="str">
        <f>"2020031111"</f>
        <v>2020031111</v>
      </c>
      <c r="C5564" s="5">
        <v>0</v>
      </c>
      <c r="D5564" s="6">
        <v>0</v>
      </c>
      <c r="E5564" s="7">
        <f t="shared" si="86"/>
        <v>0</v>
      </c>
      <c r="F5564" s="8" t="s">
        <v>8</v>
      </c>
    </row>
    <row r="5565" spans="1:6" ht="18" customHeight="1">
      <c r="A5565" s="4" t="s">
        <v>185</v>
      </c>
      <c r="B5565" s="4" t="str">
        <f>"2020033118"</f>
        <v>2020033118</v>
      </c>
      <c r="C5565" s="5">
        <v>0</v>
      </c>
      <c r="D5565" s="6">
        <v>0</v>
      </c>
      <c r="E5565" s="7">
        <f t="shared" si="86"/>
        <v>0</v>
      </c>
      <c r="F5565" s="8" t="s">
        <v>8</v>
      </c>
    </row>
    <row r="5566" spans="1:6" ht="18" customHeight="1">
      <c r="A5566" s="4" t="s">
        <v>186</v>
      </c>
      <c r="B5566" s="4" t="str">
        <f>"2020033120"</f>
        <v>2020033120</v>
      </c>
      <c r="C5566" s="5">
        <v>83.6</v>
      </c>
      <c r="D5566" s="6">
        <v>77</v>
      </c>
      <c r="E5566" s="7">
        <f t="shared" si="86"/>
        <v>160.6</v>
      </c>
      <c r="F5566" s="8"/>
    </row>
    <row r="5567" spans="1:6" ht="18" customHeight="1">
      <c r="A5567" s="4" t="s">
        <v>186</v>
      </c>
      <c r="B5567" s="4" t="str">
        <f>"2020023314"</f>
        <v>2020023314</v>
      </c>
      <c r="C5567" s="5">
        <v>75.900000000000006</v>
      </c>
      <c r="D5567" s="6">
        <v>74.5</v>
      </c>
      <c r="E5567" s="7">
        <f t="shared" si="86"/>
        <v>150.4</v>
      </c>
      <c r="F5567" s="8"/>
    </row>
    <row r="5568" spans="1:6" ht="18" customHeight="1">
      <c r="A5568" s="4" t="s">
        <v>186</v>
      </c>
      <c r="B5568" s="4" t="str">
        <f>"2020012112"</f>
        <v>2020012112</v>
      </c>
      <c r="C5568" s="5">
        <v>74.7</v>
      </c>
      <c r="D5568" s="6">
        <v>74</v>
      </c>
      <c r="E5568" s="7">
        <f t="shared" si="86"/>
        <v>148.69999999999999</v>
      </c>
      <c r="F5568" s="8"/>
    </row>
    <row r="5569" spans="1:6" ht="18" customHeight="1">
      <c r="A5569" s="4" t="s">
        <v>186</v>
      </c>
      <c r="B5569" s="4" t="str">
        <f>"2020033824"</f>
        <v>2020033824</v>
      </c>
      <c r="C5569" s="5">
        <v>68.2</v>
      </c>
      <c r="D5569" s="6">
        <v>80.5</v>
      </c>
      <c r="E5569" s="7">
        <f t="shared" si="86"/>
        <v>148.69999999999999</v>
      </c>
      <c r="F5569" s="8"/>
    </row>
    <row r="5570" spans="1:6" ht="18" customHeight="1">
      <c r="A5570" s="4" t="s">
        <v>186</v>
      </c>
      <c r="B5570" s="4" t="str">
        <f>"2020044524"</f>
        <v>2020044524</v>
      </c>
      <c r="C5570" s="5">
        <v>70.900000000000006</v>
      </c>
      <c r="D5570" s="6">
        <v>75</v>
      </c>
      <c r="E5570" s="7">
        <f t="shared" si="86"/>
        <v>145.9</v>
      </c>
      <c r="F5570" s="8"/>
    </row>
    <row r="5571" spans="1:6" ht="18" customHeight="1">
      <c r="A5571" s="4" t="s">
        <v>186</v>
      </c>
      <c r="B5571" s="4" t="str">
        <f>"2020011930"</f>
        <v>2020011930</v>
      </c>
      <c r="C5571" s="5">
        <v>72.099999999999994</v>
      </c>
      <c r="D5571" s="6">
        <v>69.5</v>
      </c>
      <c r="E5571" s="7">
        <f t="shared" ref="E5571:E5634" si="87">SUM(C5571:D5571)</f>
        <v>141.6</v>
      </c>
      <c r="F5571" s="8"/>
    </row>
    <row r="5572" spans="1:6" ht="18" customHeight="1">
      <c r="A5572" s="4" t="s">
        <v>186</v>
      </c>
      <c r="B5572" s="4" t="str">
        <f>"2020043818"</f>
        <v>2020043818</v>
      </c>
      <c r="C5572" s="5">
        <v>75.8</v>
      </c>
      <c r="D5572" s="6">
        <v>63.5</v>
      </c>
      <c r="E5572" s="7">
        <f t="shared" si="87"/>
        <v>139.30000000000001</v>
      </c>
      <c r="F5572" s="8"/>
    </row>
    <row r="5573" spans="1:6" ht="18" customHeight="1">
      <c r="A5573" s="4" t="s">
        <v>186</v>
      </c>
      <c r="B5573" s="4" t="str">
        <f>"2020045707"</f>
        <v>2020045707</v>
      </c>
      <c r="C5573" s="5">
        <v>70.7</v>
      </c>
      <c r="D5573" s="6">
        <v>66.5</v>
      </c>
      <c r="E5573" s="7">
        <f t="shared" si="87"/>
        <v>137.19999999999999</v>
      </c>
      <c r="F5573" s="8"/>
    </row>
    <row r="5574" spans="1:6" ht="18" customHeight="1">
      <c r="A5574" s="4" t="s">
        <v>186</v>
      </c>
      <c r="B5574" s="4" t="str">
        <f>"2020045314"</f>
        <v>2020045314</v>
      </c>
      <c r="C5574" s="5">
        <v>70.400000000000006</v>
      </c>
      <c r="D5574" s="6">
        <v>66.5</v>
      </c>
      <c r="E5574" s="7">
        <f t="shared" si="87"/>
        <v>136.9</v>
      </c>
      <c r="F5574" s="9" t="s">
        <v>13</v>
      </c>
    </row>
    <row r="5575" spans="1:6" ht="18" customHeight="1">
      <c r="A5575" s="4" t="s">
        <v>186</v>
      </c>
      <c r="B5575" s="4" t="str">
        <f>"2020041222"</f>
        <v>2020041222</v>
      </c>
      <c r="C5575" s="5">
        <v>67.2</v>
      </c>
      <c r="D5575" s="6">
        <v>68.5</v>
      </c>
      <c r="E5575" s="7">
        <f t="shared" si="87"/>
        <v>135.69999999999999</v>
      </c>
      <c r="F5575" s="8"/>
    </row>
    <row r="5576" spans="1:6" ht="18" customHeight="1">
      <c r="A5576" s="4" t="s">
        <v>186</v>
      </c>
      <c r="B5576" s="4" t="str">
        <f>"2020033001"</f>
        <v>2020033001</v>
      </c>
      <c r="C5576" s="5">
        <v>69.7</v>
      </c>
      <c r="D5576" s="6">
        <v>63.5</v>
      </c>
      <c r="E5576" s="7">
        <f t="shared" si="87"/>
        <v>133.19999999999999</v>
      </c>
      <c r="F5576" s="8"/>
    </row>
    <row r="5577" spans="1:6" ht="18" customHeight="1">
      <c r="A5577" s="4" t="s">
        <v>186</v>
      </c>
      <c r="B5577" s="4" t="str">
        <f>"2020010403"</f>
        <v>2020010403</v>
      </c>
      <c r="C5577" s="5">
        <v>68.400000000000006</v>
      </c>
      <c r="D5577" s="6">
        <v>64</v>
      </c>
      <c r="E5577" s="7">
        <f t="shared" si="87"/>
        <v>132.4</v>
      </c>
      <c r="F5577" s="8"/>
    </row>
    <row r="5578" spans="1:6" ht="18" customHeight="1">
      <c r="A5578" s="4" t="s">
        <v>186</v>
      </c>
      <c r="B5578" s="4" t="str">
        <f>"2020012620"</f>
        <v>2020012620</v>
      </c>
      <c r="C5578" s="5">
        <v>62.4</v>
      </c>
      <c r="D5578" s="6">
        <v>70</v>
      </c>
      <c r="E5578" s="7">
        <f t="shared" si="87"/>
        <v>132.4</v>
      </c>
      <c r="F5578" s="8"/>
    </row>
    <row r="5579" spans="1:6" ht="18" customHeight="1">
      <c r="A5579" s="4" t="s">
        <v>186</v>
      </c>
      <c r="B5579" s="4" t="str">
        <f>"2020033913"</f>
        <v>2020033913</v>
      </c>
      <c r="C5579" s="5">
        <v>67.8</v>
      </c>
      <c r="D5579" s="6">
        <v>62</v>
      </c>
      <c r="E5579" s="7">
        <f t="shared" si="87"/>
        <v>129.80000000000001</v>
      </c>
      <c r="F5579" s="8"/>
    </row>
    <row r="5580" spans="1:6" ht="18" customHeight="1">
      <c r="A5580" s="4" t="s">
        <v>186</v>
      </c>
      <c r="B5580" s="4" t="str">
        <f>"2020010107"</f>
        <v>2020010107</v>
      </c>
      <c r="C5580" s="5">
        <v>66.2</v>
      </c>
      <c r="D5580" s="6">
        <v>62.5</v>
      </c>
      <c r="E5580" s="7">
        <f t="shared" si="87"/>
        <v>128.69999999999999</v>
      </c>
      <c r="F5580" s="8"/>
    </row>
    <row r="5581" spans="1:6" ht="18" customHeight="1">
      <c r="A5581" s="4" t="s">
        <v>186</v>
      </c>
      <c r="B5581" s="4" t="str">
        <f>"2020045015"</f>
        <v>2020045015</v>
      </c>
      <c r="C5581" s="5">
        <v>61.5</v>
      </c>
      <c r="D5581" s="6">
        <v>67</v>
      </c>
      <c r="E5581" s="7">
        <f t="shared" si="87"/>
        <v>128.5</v>
      </c>
      <c r="F5581" s="8"/>
    </row>
    <row r="5582" spans="1:6" ht="18" customHeight="1">
      <c r="A5582" s="4" t="s">
        <v>186</v>
      </c>
      <c r="B5582" s="4" t="str">
        <f>"2020030730"</f>
        <v>2020030730</v>
      </c>
      <c r="C5582" s="5">
        <v>63.5</v>
      </c>
      <c r="D5582" s="6">
        <v>57.5</v>
      </c>
      <c r="E5582" s="7">
        <f t="shared" si="87"/>
        <v>121</v>
      </c>
      <c r="F5582" s="8"/>
    </row>
    <row r="5583" spans="1:6" ht="18" customHeight="1">
      <c r="A5583" s="4" t="s">
        <v>186</v>
      </c>
      <c r="B5583" s="4" t="str">
        <f>"2020011002"</f>
        <v>2020011002</v>
      </c>
      <c r="C5583" s="5">
        <v>58.7</v>
      </c>
      <c r="D5583" s="6">
        <v>59.5</v>
      </c>
      <c r="E5583" s="7">
        <f t="shared" si="87"/>
        <v>118.2</v>
      </c>
      <c r="F5583" s="8"/>
    </row>
    <row r="5584" spans="1:6" ht="18" customHeight="1">
      <c r="A5584" s="4" t="s">
        <v>186</v>
      </c>
      <c r="B5584" s="4" t="str">
        <f>"2020021414"</f>
        <v>2020021414</v>
      </c>
      <c r="C5584" s="5">
        <v>59.1</v>
      </c>
      <c r="D5584" s="6">
        <v>57</v>
      </c>
      <c r="E5584" s="7">
        <f t="shared" si="87"/>
        <v>116.1</v>
      </c>
      <c r="F5584" s="8"/>
    </row>
    <row r="5585" spans="1:6" ht="18" customHeight="1">
      <c r="A5585" s="4" t="s">
        <v>186</v>
      </c>
      <c r="B5585" s="4" t="str">
        <f>"2020024019"</f>
        <v>2020024019</v>
      </c>
      <c r="C5585" s="5">
        <v>64.599999999999994</v>
      </c>
      <c r="D5585" s="6">
        <v>46</v>
      </c>
      <c r="E5585" s="7">
        <f t="shared" si="87"/>
        <v>110.6</v>
      </c>
      <c r="F5585" s="8"/>
    </row>
    <row r="5586" spans="1:6" ht="18" customHeight="1">
      <c r="A5586" s="4" t="s">
        <v>186</v>
      </c>
      <c r="B5586" s="4" t="str">
        <f>"2020022602"</f>
        <v>2020022602</v>
      </c>
      <c r="C5586" s="5">
        <v>56.5</v>
      </c>
      <c r="D5586" s="6">
        <v>48.5</v>
      </c>
      <c r="E5586" s="7">
        <f t="shared" si="87"/>
        <v>105</v>
      </c>
      <c r="F5586" s="8"/>
    </row>
    <row r="5587" spans="1:6" ht="18" customHeight="1">
      <c r="A5587" s="4" t="s">
        <v>186</v>
      </c>
      <c r="B5587" s="4" t="str">
        <f>"2020012604"</f>
        <v>2020012604</v>
      </c>
      <c r="C5587" s="5">
        <v>0</v>
      </c>
      <c r="D5587" s="6">
        <v>0</v>
      </c>
      <c r="E5587" s="7">
        <f t="shared" si="87"/>
        <v>0</v>
      </c>
      <c r="F5587" s="9" t="s">
        <v>8</v>
      </c>
    </row>
    <row r="5588" spans="1:6" ht="18" customHeight="1">
      <c r="A5588" s="4" t="s">
        <v>186</v>
      </c>
      <c r="B5588" s="4" t="str">
        <f>"2020022610"</f>
        <v>2020022610</v>
      </c>
      <c r="C5588" s="5">
        <v>0</v>
      </c>
      <c r="D5588" s="6">
        <v>0</v>
      </c>
      <c r="E5588" s="7">
        <f t="shared" si="87"/>
        <v>0</v>
      </c>
      <c r="F5588" s="8" t="s">
        <v>8</v>
      </c>
    </row>
    <row r="5589" spans="1:6" ht="18" customHeight="1">
      <c r="A5589" s="4" t="s">
        <v>186</v>
      </c>
      <c r="B5589" s="4" t="str">
        <f>"2020023626"</f>
        <v>2020023626</v>
      </c>
      <c r="C5589" s="5">
        <v>0</v>
      </c>
      <c r="D5589" s="6">
        <v>0</v>
      </c>
      <c r="E5589" s="7">
        <f t="shared" si="87"/>
        <v>0</v>
      </c>
      <c r="F5589" s="8" t="s">
        <v>8</v>
      </c>
    </row>
    <row r="5590" spans="1:6" ht="18" customHeight="1">
      <c r="A5590" s="4" t="s">
        <v>186</v>
      </c>
      <c r="B5590" s="4" t="str">
        <f>"2020024420"</f>
        <v>2020024420</v>
      </c>
      <c r="C5590" s="5">
        <v>0</v>
      </c>
      <c r="D5590" s="6">
        <v>0</v>
      </c>
      <c r="E5590" s="7">
        <f t="shared" si="87"/>
        <v>0</v>
      </c>
      <c r="F5590" s="8" t="s">
        <v>8</v>
      </c>
    </row>
    <row r="5591" spans="1:6" ht="18" customHeight="1">
      <c r="A5591" s="4" t="s">
        <v>186</v>
      </c>
      <c r="B5591" s="4" t="str">
        <f>"2020031323"</f>
        <v>2020031323</v>
      </c>
      <c r="C5591" s="5">
        <v>0</v>
      </c>
      <c r="D5591" s="6">
        <v>0</v>
      </c>
      <c r="E5591" s="7">
        <f t="shared" si="87"/>
        <v>0</v>
      </c>
      <c r="F5591" s="8" t="s">
        <v>8</v>
      </c>
    </row>
    <row r="5592" spans="1:6" ht="18" customHeight="1">
      <c r="A5592" s="4" t="s">
        <v>186</v>
      </c>
      <c r="B5592" s="4" t="str">
        <f>"2020031520"</f>
        <v>2020031520</v>
      </c>
      <c r="C5592" s="5">
        <v>0</v>
      </c>
      <c r="D5592" s="6">
        <v>0</v>
      </c>
      <c r="E5592" s="7">
        <f t="shared" si="87"/>
        <v>0</v>
      </c>
      <c r="F5592" s="8" t="s">
        <v>8</v>
      </c>
    </row>
    <row r="5593" spans="1:6" ht="18" customHeight="1">
      <c r="A5593" s="4" t="s">
        <v>186</v>
      </c>
      <c r="B5593" s="4" t="str">
        <f>"2020040422"</f>
        <v>2020040422</v>
      </c>
      <c r="C5593" s="5">
        <v>0</v>
      </c>
      <c r="D5593" s="6">
        <v>0</v>
      </c>
      <c r="E5593" s="7">
        <f t="shared" si="87"/>
        <v>0</v>
      </c>
      <c r="F5593" s="8" t="s">
        <v>8</v>
      </c>
    </row>
    <row r="5594" spans="1:6" ht="18" customHeight="1">
      <c r="A5594" s="4" t="s">
        <v>186</v>
      </c>
      <c r="B5594" s="4" t="str">
        <f>"2020047104"</f>
        <v>2020047104</v>
      </c>
      <c r="C5594" s="5">
        <v>0</v>
      </c>
      <c r="D5594" s="6">
        <v>0</v>
      </c>
      <c r="E5594" s="7">
        <f t="shared" si="87"/>
        <v>0</v>
      </c>
      <c r="F5594" s="8" t="s">
        <v>8</v>
      </c>
    </row>
    <row r="5595" spans="1:6" ht="18" customHeight="1">
      <c r="A5595" s="4" t="s">
        <v>187</v>
      </c>
      <c r="B5595" s="4" t="str">
        <f>"2020010221"</f>
        <v>2020010221</v>
      </c>
      <c r="C5595" s="5">
        <v>70.2</v>
      </c>
      <c r="D5595" s="6">
        <v>83.5</v>
      </c>
      <c r="E5595" s="7">
        <f t="shared" si="87"/>
        <v>153.69999999999999</v>
      </c>
      <c r="F5595" s="8"/>
    </row>
    <row r="5596" spans="1:6" ht="18" customHeight="1">
      <c r="A5596" s="4" t="s">
        <v>187</v>
      </c>
      <c r="B5596" s="4" t="str">
        <f>"2020033914"</f>
        <v>2020033914</v>
      </c>
      <c r="C5596" s="5">
        <v>71.7</v>
      </c>
      <c r="D5596" s="6">
        <v>81</v>
      </c>
      <c r="E5596" s="7">
        <f t="shared" si="87"/>
        <v>152.69999999999999</v>
      </c>
      <c r="F5596" s="8"/>
    </row>
    <row r="5597" spans="1:6" ht="18" customHeight="1">
      <c r="A5597" s="4" t="s">
        <v>187</v>
      </c>
      <c r="B5597" s="4" t="str">
        <f>"2020021706"</f>
        <v>2020021706</v>
      </c>
      <c r="C5597" s="5">
        <v>67.3</v>
      </c>
      <c r="D5597" s="6">
        <v>84.5</v>
      </c>
      <c r="E5597" s="7">
        <f t="shared" si="87"/>
        <v>151.80000000000001</v>
      </c>
      <c r="F5597" s="8"/>
    </row>
    <row r="5598" spans="1:6" ht="18" customHeight="1">
      <c r="A5598" s="4" t="s">
        <v>187</v>
      </c>
      <c r="B5598" s="4" t="str">
        <f>"2020033921"</f>
        <v>2020033921</v>
      </c>
      <c r="C5598" s="5">
        <v>71.5</v>
      </c>
      <c r="D5598" s="6">
        <v>76.5</v>
      </c>
      <c r="E5598" s="7">
        <f t="shared" si="87"/>
        <v>148</v>
      </c>
      <c r="F5598" s="8"/>
    </row>
    <row r="5599" spans="1:6" ht="18" customHeight="1">
      <c r="A5599" s="4" t="s">
        <v>187</v>
      </c>
      <c r="B5599" s="4" t="str">
        <f>"2020012816"</f>
        <v>2020012816</v>
      </c>
      <c r="C5599" s="5">
        <v>69.3</v>
      </c>
      <c r="D5599" s="6">
        <v>75.5</v>
      </c>
      <c r="E5599" s="7">
        <f t="shared" si="87"/>
        <v>144.80000000000001</v>
      </c>
      <c r="F5599" s="8"/>
    </row>
    <row r="5600" spans="1:6" ht="18" customHeight="1">
      <c r="A5600" s="4" t="s">
        <v>187</v>
      </c>
      <c r="B5600" s="4" t="str">
        <f>"2020011911"</f>
        <v>2020011911</v>
      </c>
      <c r="C5600" s="5">
        <v>68.7</v>
      </c>
      <c r="D5600" s="6">
        <v>76</v>
      </c>
      <c r="E5600" s="7">
        <f t="shared" si="87"/>
        <v>144.69999999999999</v>
      </c>
      <c r="F5600" s="8"/>
    </row>
    <row r="5601" spans="1:6" ht="18" customHeight="1">
      <c r="A5601" s="4" t="s">
        <v>187</v>
      </c>
      <c r="B5601" s="4" t="str">
        <f>"2020041107"</f>
        <v>2020041107</v>
      </c>
      <c r="C5601" s="5">
        <v>66</v>
      </c>
      <c r="D5601" s="6">
        <v>77.5</v>
      </c>
      <c r="E5601" s="7">
        <f t="shared" si="87"/>
        <v>143.5</v>
      </c>
      <c r="F5601" s="8"/>
    </row>
    <row r="5602" spans="1:6" ht="18" customHeight="1">
      <c r="A5602" s="4" t="s">
        <v>187</v>
      </c>
      <c r="B5602" s="4" t="str">
        <f>"2020041012"</f>
        <v>2020041012</v>
      </c>
      <c r="C5602" s="5">
        <v>68.2</v>
      </c>
      <c r="D5602" s="6">
        <v>70</v>
      </c>
      <c r="E5602" s="7">
        <f t="shared" si="87"/>
        <v>138.19999999999999</v>
      </c>
      <c r="F5602" s="8"/>
    </row>
    <row r="5603" spans="1:6" ht="18" customHeight="1">
      <c r="A5603" s="4" t="s">
        <v>187</v>
      </c>
      <c r="B5603" s="4" t="str">
        <f>"2020011223"</f>
        <v>2020011223</v>
      </c>
      <c r="C5603" s="5">
        <v>64.3</v>
      </c>
      <c r="D5603" s="6">
        <v>72.5</v>
      </c>
      <c r="E5603" s="7">
        <f t="shared" si="87"/>
        <v>136.80000000000001</v>
      </c>
      <c r="F5603" s="8"/>
    </row>
    <row r="5604" spans="1:6" ht="18" customHeight="1">
      <c r="A5604" s="4" t="s">
        <v>187</v>
      </c>
      <c r="B5604" s="4" t="str">
        <f>"2020024728"</f>
        <v>2020024728</v>
      </c>
      <c r="C5604" s="5">
        <v>76.5</v>
      </c>
      <c r="D5604" s="6">
        <v>59.5</v>
      </c>
      <c r="E5604" s="7">
        <f t="shared" si="87"/>
        <v>136</v>
      </c>
      <c r="F5604" s="8"/>
    </row>
    <row r="5605" spans="1:6" ht="18" customHeight="1">
      <c r="A5605" s="4" t="s">
        <v>187</v>
      </c>
      <c r="B5605" s="4" t="str">
        <f>"2020042415"</f>
        <v>2020042415</v>
      </c>
      <c r="C5605" s="5">
        <v>57.1</v>
      </c>
      <c r="D5605" s="6">
        <v>77</v>
      </c>
      <c r="E5605" s="7">
        <f t="shared" si="87"/>
        <v>134.1</v>
      </c>
      <c r="F5605" s="8"/>
    </row>
    <row r="5606" spans="1:6" ht="18" customHeight="1">
      <c r="A5606" s="4" t="s">
        <v>187</v>
      </c>
      <c r="B5606" s="4" t="str">
        <f>"2020044727"</f>
        <v>2020044727</v>
      </c>
      <c r="C5606" s="5">
        <v>69.5</v>
      </c>
      <c r="D5606" s="6">
        <v>64</v>
      </c>
      <c r="E5606" s="7">
        <f t="shared" si="87"/>
        <v>133.5</v>
      </c>
      <c r="F5606" s="8"/>
    </row>
    <row r="5607" spans="1:6" ht="18" customHeight="1">
      <c r="A5607" s="4" t="s">
        <v>187</v>
      </c>
      <c r="B5607" s="4" t="str">
        <f>"2020042913"</f>
        <v>2020042913</v>
      </c>
      <c r="C5607" s="5">
        <v>67.7</v>
      </c>
      <c r="D5607" s="6">
        <v>65.5</v>
      </c>
      <c r="E5607" s="7">
        <f t="shared" si="87"/>
        <v>133.19999999999999</v>
      </c>
      <c r="F5607" s="8"/>
    </row>
    <row r="5608" spans="1:6" ht="18" customHeight="1">
      <c r="A5608" s="4" t="s">
        <v>187</v>
      </c>
      <c r="B5608" s="4" t="str">
        <f>"2020021621"</f>
        <v>2020021621</v>
      </c>
      <c r="C5608" s="5">
        <v>62.9</v>
      </c>
      <c r="D5608" s="6">
        <v>70</v>
      </c>
      <c r="E5608" s="7">
        <f t="shared" si="87"/>
        <v>132.9</v>
      </c>
      <c r="F5608" s="8"/>
    </row>
    <row r="5609" spans="1:6" ht="18" customHeight="1">
      <c r="A5609" s="4" t="s">
        <v>187</v>
      </c>
      <c r="B5609" s="4" t="str">
        <f>"2020045408"</f>
        <v>2020045408</v>
      </c>
      <c r="C5609" s="5">
        <v>65.2</v>
      </c>
      <c r="D5609" s="6">
        <v>62.5</v>
      </c>
      <c r="E5609" s="7">
        <f t="shared" si="87"/>
        <v>127.7</v>
      </c>
      <c r="F5609" s="8"/>
    </row>
    <row r="5610" spans="1:6" ht="18" customHeight="1">
      <c r="A5610" s="4" t="s">
        <v>187</v>
      </c>
      <c r="B5610" s="4" t="str">
        <f>"2020030126"</f>
        <v>2020030126</v>
      </c>
      <c r="C5610" s="5">
        <v>58.2</v>
      </c>
      <c r="D5610" s="6">
        <v>59.5</v>
      </c>
      <c r="E5610" s="7">
        <f t="shared" si="87"/>
        <v>117.7</v>
      </c>
      <c r="F5610" s="8"/>
    </row>
    <row r="5611" spans="1:6" ht="18" customHeight="1">
      <c r="A5611" s="4" t="s">
        <v>187</v>
      </c>
      <c r="B5611" s="4" t="str">
        <f>"2020023030"</f>
        <v>2020023030</v>
      </c>
      <c r="C5611" s="5">
        <v>62</v>
      </c>
      <c r="D5611" s="6">
        <v>53</v>
      </c>
      <c r="E5611" s="7">
        <f t="shared" si="87"/>
        <v>115</v>
      </c>
      <c r="F5611" s="8"/>
    </row>
    <row r="5612" spans="1:6" ht="18" customHeight="1">
      <c r="A5612" s="4" t="s">
        <v>187</v>
      </c>
      <c r="B5612" s="4" t="str">
        <f>"2020022616"</f>
        <v>2020022616</v>
      </c>
      <c r="C5612" s="5">
        <v>59.3</v>
      </c>
      <c r="D5612" s="6">
        <v>40</v>
      </c>
      <c r="E5612" s="7">
        <f t="shared" si="87"/>
        <v>99.3</v>
      </c>
      <c r="F5612" s="8"/>
    </row>
    <row r="5613" spans="1:6" ht="18" customHeight="1">
      <c r="A5613" s="4" t="s">
        <v>187</v>
      </c>
      <c r="B5613" s="4" t="str">
        <f>"2020013430"</f>
        <v>2020013430</v>
      </c>
      <c r="C5613" s="5">
        <v>0</v>
      </c>
      <c r="D5613" s="6">
        <v>0</v>
      </c>
      <c r="E5613" s="7">
        <f t="shared" si="87"/>
        <v>0</v>
      </c>
      <c r="F5613" s="9" t="s">
        <v>8</v>
      </c>
    </row>
    <row r="5614" spans="1:6" ht="18" customHeight="1">
      <c r="A5614" s="4" t="s">
        <v>187</v>
      </c>
      <c r="B5614" s="4" t="str">
        <f>"2020023307"</f>
        <v>2020023307</v>
      </c>
      <c r="C5614" s="5">
        <v>0</v>
      </c>
      <c r="D5614" s="6">
        <v>0</v>
      </c>
      <c r="E5614" s="7">
        <f t="shared" si="87"/>
        <v>0</v>
      </c>
      <c r="F5614" s="8" t="s">
        <v>8</v>
      </c>
    </row>
    <row r="5615" spans="1:6" ht="18" customHeight="1">
      <c r="A5615" s="4" t="s">
        <v>187</v>
      </c>
      <c r="B5615" s="4" t="str">
        <f>"2020034010"</f>
        <v>2020034010</v>
      </c>
      <c r="C5615" s="5">
        <v>0</v>
      </c>
      <c r="D5615" s="6">
        <v>0</v>
      </c>
      <c r="E5615" s="7">
        <f t="shared" si="87"/>
        <v>0</v>
      </c>
      <c r="F5615" s="8" t="s">
        <v>8</v>
      </c>
    </row>
    <row r="5616" spans="1:6" ht="18" customHeight="1">
      <c r="A5616" s="4" t="s">
        <v>187</v>
      </c>
      <c r="B5616" s="4" t="str">
        <f>"2020042023"</f>
        <v>2020042023</v>
      </c>
      <c r="C5616" s="5">
        <v>0</v>
      </c>
      <c r="D5616" s="6">
        <v>0</v>
      </c>
      <c r="E5616" s="7">
        <f t="shared" si="87"/>
        <v>0</v>
      </c>
      <c r="F5616" s="8" t="s">
        <v>8</v>
      </c>
    </row>
    <row r="5617" spans="1:6" ht="18" customHeight="1">
      <c r="A5617" s="4" t="s">
        <v>187</v>
      </c>
      <c r="B5617" s="4" t="str">
        <f>"2020043708"</f>
        <v>2020043708</v>
      </c>
      <c r="C5617" s="5">
        <v>0</v>
      </c>
      <c r="D5617" s="6">
        <v>0</v>
      </c>
      <c r="E5617" s="7">
        <f t="shared" si="87"/>
        <v>0</v>
      </c>
      <c r="F5617" s="8" t="s">
        <v>8</v>
      </c>
    </row>
    <row r="5618" spans="1:6" ht="18" customHeight="1">
      <c r="A5618" s="4" t="s">
        <v>188</v>
      </c>
      <c r="B5618" s="4" t="str">
        <f>"2020047501"</f>
        <v>2020047501</v>
      </c>
      <c r="C5618" s="5">
        <v>77.7</v>
      </c>
      <c r="D5618" s="6">
        <v>73</v>
      </c>
      <c r="E5618" s="7">
        <f t="shared" si="87"/>
        <v>150.69999999999999</v>
      </c>
      <c r="F5618" s="8"/>
    </row>
    <row r="5619" spans="1:6" ht="18" customHeight="1">
      <c r="A5619" s="4" t="s">
        <v>188</v>
      </c>
      <c r="B5619" s="4" t="str">
        <f>"2020042203"</f>
        <v>2020042203</v>
      </c>
      <c r="C5619" s="5">
        <v>67.099999999999994</v>
      </c>
      <c r="D5619" s="6">
        <v>77</v>
      </c>
      <c r="E5619" s="7">
        <f t="shared" si="87"/>
        <v>144.1</v>
      </c>
      <c r="F5619" s="8"/>
    </row>
    <row r="5620" spans="1:6" ht="18" customHeight="1">
      <c r="A5620" s="4" t="s">
        <v>188</v>
      </c>
      <c r="B5620" s="4" t="str">
        <f>"2020046126"</f>
        <v>2020046126</v>
      </c>
      <c r="C5620" s="5">
        <v>65.7</v>
      </c>
      <c r="D5620" s="6">
        <v>76.5</v>
      </c>
      <c r="E5620" s="7">
        <f t="shared" si="87"/>
        <v>142.19999999999999</v>
      </c>
      <c r="F5620" s="8"/>
    </row>
    <row r="5621" spans="1:6" ht="18" customHeight="1">
      <c r="A5621" s="4" t="s">
        <v>188</v>
      </c>
      <c r="B5621" s="4" t="str">
        <f>"2020040213"</f>
        <v>2020040213</v>
      </c>
      <c r="C5621" s="5">
        <v>72.5</v>
      </c>
      <c r="D5621" s="6">
        <v>67</v>
      </c>
      <c r="E5621" s="7">
        <f t="shared" si="87"/>
        <v>139.5</v>
      </c>
      <c r="F5621" s="8"/>
    </row>
    <row r="5622" spans="1:6" ht="18" customHeight="1">
      <c r="A5622" s="4" t="s">
        <v>188</v>
      </c>
      <c r="B5622" s="4" t="str">
        <f>"2020011120"</f>
        <v>2020011120</v>
      </c>
      <c r="C5622" s="5">
        <v>71.3</v>
      </c>
      <c r="D5622" s="6">
        <v>67.5</v>
      </c>
      <c r="E5622" s="7">
        <f t="shared" si="87"/>
        <v>138.80000000000001</v>
      </c>
      <c r="F5622" s="8"/>
    </row>
    <row r="5623" spans="1:6" ht="18" customHeight="1">
      <c r="A5623" s="4" t="s">
        <v>188</v>
      </c>
      <c r="B5623" s="4" t="str">
        <f>"2020031127"</f>
        <v>2020031127</v>
      </c>
      <c r="C5623" s="5">
        <v>67.599999999999994</v>
      </c>
      <c r="D5623" s="6">
        <v>62</v>
      </c>
      <c r="E5623" s="7">
        <f t="shared" si="87"/>
        <v>129.6</v>
      </c>
      <c r="F5623" s="8"/>
    </row>
    <row r="5624" spans="1:6" ht="18" customHeight="1">
      <c r="A5624" s="4" t="s">
        <v>188</v>
      </c>
      <c r="B5624" s="4" t="str">
        <f>"2020023925"</f>
        <v>2020023925</v>
      </c>
      <c r="C5624" s="5">
        <v>63.3</v>
      </c>
      <c r="D5624" s="6">
        <v>65</v>
      </c>
      <c r="E5624" s="7">
        <f t="shared" si="87"/>
        <v>128.30000000000001</v>
      </c>
      <c r="F5624" s="8"/>
    </row>
    <row r="5625" spans="1:6" ht="18" customHeight="1">
      <c r="A5625" s="4" t="s">
        <v>188</v>
      </c>
      <c r="B5625" s="4" t="str">
        <f>"2020010522"</f>
        <v>2020010522</v>
      </c>
      <c r="C5625" s="5">
        <v>61.3</v>
      </c>
      <c r="D5625" s="6">
        <v>66</v>
      </c>
      <c r="E5625" s="7">
        <f t="shared" si="87"/>
        <v>127.3</v>
      </c>
      <c r="F5625" s="8"/>
    </row>
    <row r="5626" spans="1:6" ht="18" customHeight="1">
      <c r="A5626" s="4" t="s">
        <v>188</v>
      </c>
      <c r="B5626" s="4" t="str">
        <f>"2020022410"</f>
        <v>2020022410</v>
      </c>
      <c r="C5626" s="5">
        <v>60.4</v>
      </c>
      <c r="D5626" s="6">
        <v>65.5</v>
      </c>
      <c r="E5626" s="7">
        <f t="shared" si="87"/>
        <v>125.9</v>
      </c>
      <c r="F5626" s="8"/>
    </row>
    <row r="5627" spans="1:6" ht="18" customHeight="1">
      <c r="A5627" s="4" t="s">
        <v>188</v>
      </c>
      <c r="B5627" s="4" t="str">
        <f>"2020044824"</f>
        <v>2020044824</v>
      </c>
      <c r="C5627" s="5">
        <v>64.5</v>
      </c>
      <c r="D5627" s="6">
        <v>58.5</v>
      </c>
      <c r="E5627" s="7">
        <f t="shared" si="87"/>
        <v>123</v>
      </c>
      <c r="F5627" s="8"/>
    </row>
    <row r="5628" spans="1:6" ht="18" customHeight="1">
      <c r="A5628" s="4" t="s">
        <v>188</v>
      </c>
      <c r="B5628" s="4" t="str">
        <f>"2020040116"</f>
        <v>2020040116</v>
      </c>
      <c r="C5628" s="5">
        <v>61.4</v>
      </c>
      <c r="D5628" s="6">
        <v>61.5</v>
      </c>
      <c r="E5628" s="7">
        <f t="shared" si="87"/>
        <v>122.9</v>
      </c>
      <c r="F5628" s="8"/>
    </row>
    <row r="5629" spans="1:6" ht="18" customHeight="1">
      <c r="A5629" s="4" t="s">
        <v>188</v>
      </c>
      <c r="B5629" s="4" t="str">
        <f>"2020013508"</f>
        <v>2020013508</v>
      </c>
      <c r="C5629" s="5">
        <v>58.9</v>
      </c>
      <c r="D5629" s="6">
        <v>64</v>
      </c>
      <c r="E5629" s="7">
        <f t="shared" si="87"/>
        <v>122.9</v>
      </c>
      <c r="F5629" s="8"/>
    </row>
    <row r="5630" spans="1:6" ht="18" customHeight="1">
      <c r="A5630" s="4" t="s">
        <v>188</v>
      </c>
      <c r="B5630" s="4" t="str">
        <f>"2020012029"</f>
        <v>2020012029</v>
      </c>
      <c r="C5630" s="5">
        <v>64.599999999999994</v>
      </c>
      <c r="D5630" s="6">
        <v>58</v>
      </c>
      <c r="E5630" s="7">
        <f t="shared" si="87"/>
        <v>122.6</v>
      </c>
      <c r="F5630" s="8"/>
    </row>
    <row r="5631" spans="1:6" ht="18" customHeight="1">
      <c r="A5631" s="4" t="s">
        <v>188</v>
      </c>
      <c r="B5631" s="4" t="str">
        <f>"2020031523"</f>
        <v>2020031523</v>
      </c>
      <c r="C5631" s="5">
        <v>65.2</v>
      </c>
      <c r="D5631" s="6">
        <v>56</v>
      </c>
      <c r="E5631" s="7">
        <f t="shared" si="87"/>
        <v>121.2</v>
      </c>
      <c r="F5631" s="8"/>
    </row>
    <row r="5632" spans="1:6" ht="18" customHeight="1">
      <c r="A5632" s="4" t="s">
        <v>188</v>
      </c>
      <c r="B5632" s="4" t="str">
        <f>"2020024421"</f>
        <v>2020024421</v>
      </c>
      <c r="C5632" s="5">
        <v>64.099999999999994</v>
      </c>
      <c r="D5632" s="6">
        <v>56</v>
      </c>
      <c r="E5632" s="7">
        <f t="shared" si="87"/>
        <v>120.1</v>
      </c>
      <c r="F5632" s="8"/>
    </row>
    <row r="5633" spans="1:6" ht="18" customHeight="1">
      <c r="A5633" s="4" t="s">
        <v>188</v>
      </c>
      <c r="B5633" s="4" t="str">
        <f>"2020024223"</f>
        <v>2020024223</v>
      </c>
      <c r="C5633" s="5">
        <v>56.6</v>
      </c>
      <c r="D5633" s="6">
        <v>62.5</v>
      </c>
      <c r="E5633" s="7">
        <f t="shared" si="87"/>
        <v>119.1</v>
      </c>
      <c r="F5633" s="8"/>
    </row>
    <row r="5634" spans="1:6" ht="18" customHeight="1">
      <c r="A5634" s="4" t="s">
        <v>188</v>
      </c>
      <c r="B5634" s="4" t="str">
        <f>"2020033202"</f>
        <v>2020033202</v>
      </c>
      <c r="C5634" s="5">
        <v>58.9</v>
      </c>
      <c r="D5634" s="6">
        <v>58</v>
      </c>
      <c r="E5634" s="7">
        <f t="shared" si="87"/>
        <v>116.9</v>
      </c>
      <c r="F5634" s="8"/>
    </row>
    <row r="5635" spans="1:6" ht="18" customHeight="1">
      <c r="A5635" s="4" t="s">
        <v>188</v>
      </c>
      <c r="B5635" s="4" t="str">
        <f>"2020042017"</f>
        <v>2020042017</v>
      </c>
      <c r="C5635" s="5">
        <v>57.1</v>
      </c>
      <c r="D5635" s="6">
        <v>58.5</v>
      </c>
      <c r="E5635" s="7">
        <f t="shared" ref="E5635:E5698" si="88">SUM(C5635:D5635)</f>
        <v>115.6</v>
      </c>
      <c r="F5635" s="8"/>
    </row>
    <row r="5636" spans="1:6" ht="18" customHeight="1">
      <c r="A5636" s="4" t="s">
        <v>188</v>
      </c>
      <c r="B5636" s="4" t="str">
        <f>"2020012113"</f>
        <v>2020012113</v>
      </c>
      <c r="C5636" s="5">
        <v>63.9</v>
      </c>
      <c r="D5636" s="6">
        <v>50.5</v>
      </c>
      <c r="E5636" s="7">
        <f t="shared" si="88"/>
        <v>114.4</v>
      </c>
      <c r="F5636" s="8"/>
    </row>
    <row r="5637" spans="1:6" ht="18" customHeight="1">
      <c r="A5637" s="4" t="s">
        <v>188</v>
      </c>
      <c r="B5637" s="4" t="str">
        <f>"2020021818"</f>
        <v>2020021818</v>
      </c>
      <c r="C5637" s="5">
        <v>55.3</v>
      </c>
      <c r="D5637" s="6">
        <v>59</v>
      </c>
      <c r="E5637" s="7">
        <f t="shared" si="88"/>
        <v>114.3</v>
      </c>
      <c r="F5637" s="8"/>
    </row>
    <row r="5638" spans="1:6" ht="18" customHeight="1">
      <c r="A5638" s="4" t="s">
        <v>188</v>
      </c>
      <c r="B5638" s="4" t="str">
        <f>"2020040318"</f>
        <v>2020040318</v>
      </c>
      <c r="C5638" s="5">
        <v>56.5</v>
      </c>
      <c r="D5638" s="6">
        <v>55</v>
      </c>
      <c r="E5638" s="7">
        <f t="shared" si="88"/>
        <v>111.5</v>
      </c>
      <c r="F5638" s="8"/>
    </row>
    <row r="5639" spans="1:6" ht="18" customHeight="1">
      <c r="A5639" s="4" t="s">
        <v>188</v>
      </c>
      <c r="B5639" s="4" t="str">
        <f>"2020042514"</f>
        <v>2020042514</v>
      </c>
      <c r="C5639" s="5">
        <v>59.5</v>
      </c>
      <c r="D5639" s="6">
        <v>50.5</v>
      </c>
      <c r="E5639" s="7">
        <f t="shared" si="88"/>
        <v>110</v>
      </c>
      <c r="F5639" s="8"/>
    </row>
    <row r="5640" spans="1:6" ht="18" customHeight="1">
      <c r="A5640" s="4" t="s">
        <v>188</v>
      </c>
      <c r="B5640" s="4" t="str">
        <f>"2020040412"</f>
        <v>2020040412</v>
      </c>
      <c r="C5640" s="5">
        <v>52</v>
      </c>
      <c r="D5640" s="6">
        <v>57.5</v>
      </c>
      <c r="E5640" s="7">
        <f t="shared" si="88"/>
        <v>109.5</v>
      </c>
      <c r="F5640" s="8"/>
    </row>
    <row r="5641" spans="1:6" ht="18" customHeight="1">
      <c r="A5641" s="4" t="s">
        <v>188</v>
      </c>
      <c r="B5641" s="4" t="str">
        <f>"2020010210"</f>
        <v>2020010210</v>
      </c>
      <c r="C5641" s="5">
        <v>59.6</v>
      </c>
      <c r="D5641" s="6">
        <v>49</v>
      </c>
      <c r="E5641" s="7">
        <f t="shared" si="88"/>
        <v>108.6</v>
      </c>
      <c r="F5641" s="8"/>
    </row>
    <row r="5642" spans="1:6" ht="18" customHeight="1">
      <c r="A5642" s="4" t="s">
        <v>188</v>
      </c>
      <c r="B5642" s="4" t="str">
        <f>"2020022513"</f>
        <v>2020022513</v>
      </c>
      <c r="C5642" s="5">
        <v>56.4</v>
      </c>
      <c r="D5642" s="6">
        <v>52</v>
      </c>
      <c r="E5642" s="7">
        <f t="shared" si="88"/>
        <v>108.4</v>
      </c>
      <c r="F5642" s="8"/>
    </row>
    <row r="5643" spans="1:6" ht="18" customHeight="1">
      <c r="A5643" s="4" t="s">
        <v>188</v>
      </c>
      <c r="B5643" s="4" t="str">
        <f>"2020010228"</f>
        <v>2020010228</v>
      </c>
      <c r="C5643" s="5">
        <v>61.2</v>
      </c>
      <c r="D5643" s="6">
        <v>45.5</v>
      </c>
      <c r="E5643" s="7">
        <f t="shared" si="88"/>
        <v>106.7</v>
      </c>
      <c r="F5643" s="8"/>
    </row>
    <row r="5644" spans="1:6" ht="18" customHeight="1">
      <c r="A5644" s="4" t="s">
        <v>188</v>
      </c>
      <c r="B5644" s="4" t="str">
        <f>"2020043513"</f>
        <v>2020043513</v>
      </c>
      <c r="C5644" s="5">
        <v>54.8</v>
      </c>
      <c r="D5644" s="6">
        <v>51.5</v>
      </c>
      <c r="E5644" s="7">
        <f t="shared" si="88"/>
        <v>106.3</v>
      </c>
      <c r="F5644" s="8"/>
    </row>
    <row r="5645" spans="1:6" ht="18" customHeight="1">
      <c r="A5645" s="4" t="s">
        <v>188</v>
      </c>
      <c r="B5645" s="4" t="str">
        <f>"2020045621"</f>
        <v>2020045621</v>
      </c>
      <c r="C5645" s="5">
        <v>53.5</v>
      </c>
      <c r="D5645" s="6">
        <v>51.5</v>
      </c>
      <c r="E5645" s="7">
        <f t="shared" si="88"/>
        <v>105</v>
      </c>
      <c r="F5645" s="8"/>
    </row>
    <row r="5646" spans="1:6" ht="18" customHeight="1">
      <c r="A5646" s="4" t="s">
        <v>188</v>
      </c>
      <c r="B5646" s="4" t="str">
        <f>"2020022924"</f>
        <v>2020022924</v>
      </c>
      <c r="C5646" s="5">
        <v>57.5</v>
      </c>
      <c r="D5646" s="6">
        <v>46.5</v>
      </c>
      <c r="E5646" s="7">
        <f t="shared" si="88"/>
        <v>104</v>
      </c>
      <c r="F5646" s="8"/>
    </row>
    <row r="5647" spans="1:6" ht="18" customHeight="1">
      <c r="A5647" s="4" t="s">
        <v>188</v>
      </c>
      <c r="B5647" s="4" t="str">
        <f>"2020020114"</f>
        <v>2020020114</v>
      </c>
      <c r="C5647" s="5">
        <v>56.4</v>
      </c>
      <c r="D5647" s="6">
        <v>47.5</v>
      </c>
      <c r="E5647" s="7">
        <f t="shared" si="88"/>
        <v>103.9</v>
      </c>
      <c r="F5647" s="8"/>
    </row>
    <row r="5648" spans="1:6" ht="18" customHeight="1">
      <c r="A5648" s="4" t="s">
        <v>188</v>
      </c>
      <c r="B5648" s="4" t="str">
        <f>"2020044012"</f>
        <v>2020044012</v>
      </c>
      <c r="C5648" s="5">
        <v>57.9</v>
      </c>
      <c r="D5648" s="6">
        <v>45.5</v>
      </c>
      <c r="E5648" s="7">
        <f t="shared" si="88"/>
        <v>103.4</v>
      </c>
      <c r="F5648" s="8"/>
    </row>
    <row r="5649" spans="1:6" ht="18" customHeight="1">
      <c r="A5649" s="4" t="s">
        <v>188</v>
      </c>
      <c r="B5649" s="4" t="str">
        <f>"2020023223"</f>
        <v>2020023223</v>
      </c>
      <c r="C5649" s="5">
        <v>56.2</v>
      </c>
      <c r="D5649" s="6">
        <v>46.5</v>
      </c>
      <c r="E5649" s="7">
        <f t="shared" si="88"/>
        <v>102.7</v>
      </c>
      <c r="F5649" s="8"/>
    </row>
    <row r="5650" spans="1:6" ht="18" customHeight="1">
      <c r="A5650" s="4" t="s">
        <v>188</v>
      </c>
      <c r="B5650" s="4" t="str">
        <f>"2020011625"</f>
        <v>2020011625</v>
      </c>
      <c r="C5650" s="5">
        <v>58.6</v>
      </c>
      <c r="D5650" s="6">
        <v>43</v>
      </c>
      <c r="E5650" s="7">
        <f t="shared" si="88"/>
        <v>101.6</v>
      </c>
      <c r="F5650" s="8"/>
    </row>
    <row r="5651" spans="1:6" ht="18" customHeight="1">
      <c r="A5651" s="4" t="s">
        <v>188</v>
      </c>
      <c r="B5651" s="4" t="str">
        <f>"2020032121"</f>
        <v>2020032121</v>
      </c>
      <c r="C5651" s="5">
        <v>47</v>
      </c>
      <c r="D5651" s="6">
        <v>47</v>
      </c>
      <c r="E5651" s="7">
        <f t="shared" si="88"/>
        <v>94</v>
      </c>
      <c r="F5651" s="8"/>
    </row>
    <row r="5652" spans="1:6" ht="18" customHeight="1">
      <c r="A5652" s="4" t="s">
        <v>188</v>
      </c>
      <c r="B5652" s="4" t="str">
        <f>"2020040617"</f>
        <v>2020040617</v>
      </c>
      <c r="C5652" s="5">
        <v>51.6</v>
      </c>
      <c r="D5652" s="6">
        <v>41</v>
      </c>
      <c r="E5652" s="7">
        <f t="shared" si="88"/>
        <v>92.6</v>
      </c>
      <c r="F5652" s="8"/>
    </row>
    <row r="5653" spans="1:6" ht="18" customHeight="1">
      <c r="A5653" s="4" t="s">
        <v>188</v>
      </c>
      <c r="B5653" s="4" t="str">
        <f>"2020010910"</f>
        <v>2020010910</v>
      </c>
      <c r="C5653" s="5">
        <v>45.2</v>
      </c>
      <c r="D5653" s="6">
        <v>46.5</v>
      </c>
      <c r="E5653" s="7">
        <f t="shared" si="88"/>
        <v>91.7</v>
      </c>
      <c r="F5653" s="8"/>
    </row>
    <row r="5654" spans="1:6" ht="18" customHeight="1">
      <c r="A5654" s="4" t="s">
        <v>188</v>
      </c>
      <c r="B5654" s="4" t="str">
        <f>"2020022422"</f>
        <v>2020022422</v>
      </c>
      <c r="C5654" s="5">
        <v>43.6</v>
      </c>
      <c r="D5654" s="6">
        <v>48</v>
      </c>
      <c r="E5654" s="7">
        <f t="shared" si="88"/>
        <v>91.6</v>
      </c>
      <c r="F5654" s="9"/>
    </row>
    <row r="5655" spans="1:6" ht="18" customHeight="1">
      <c r="A5655" s="4" t="s">
        <v>188</v>
      </c>
      <c r="B5655" s="4" t="str">
        <f>"2020047005"</f>
        <v>2020047005</v>
      </c>
      <c r="C5655" s="5">
        <v>54.5</v>
      </c>
      <c r="D5655" s="6">
        <v>33</v>
      </c>
      <c r="E5655" s="7">
        <f t="shared" si="88"/>
        <v>87.5</v>
      </c>
      <c r="F5655" s="8"/>
    </row>
    <row r="5656" spans="1:6" ht="18" customHeight="1">
      <c r="A5656" s="4" t="s">
        <v>188</v>
      </c>
      <c r="B5656" s="4" t="str">
        <f>"2020024815"</f>
        <v>2020024815</v>
      </c>
      <c r="C5656" s="5">
        <v>50.1</v>
      </c>
      <c r="D5656" s="6">
        <v>34</v>
      </c>
      <c r="E5656" s="7">
        <f t="shared" si="88"/>
        <v>84.1</v>
      </c>
      <c r="F5656" s="8"/>
    </row>
    <row r="5657" spans="1:6" ht="18" customHeight="1">
      <c r="A5657" s="4" t="s">
        <v>188</v>
      </c>
      <c r="B5657" s="4" t="str">
        <f>"2020045716"</f>
        <v>2020045716</v>
      </c>
      <c r="C5657" s="5">
        <v>46</v>
      </c>
      <c r="D5657" s="6">
        <v>31</v>
      </c>
      <c r="E5657" s="7">
        <f t="shared" si="88"/>
        <v>77</v>
      </c>
      <c r="F5657" s="8"/>
    </row>
    <row r="5658" spans="1:6" ht="18" customHeight="1">
      <c r="A5658" s="4" t="s">
        <v>188</v>
      </c>
      <c r="B5658" s="4" t="str">
        <f>"2020020416"</f>
        <v>2020020416</v>
      </c>
      <c r="C5658" s="5">
        <v>0</v>
      </c>
      <c r="D5658" s="6">
        <v>0</v>
      </c>
      <c r="E5658" s="7">
        <f t="shared" si="88"/>
        <v>0</v>
      </c>
      <c r="F5658" s="8" t="s">
        <v>8</v>
      </c>
    </row>
    <row r="5659" spans="1:6" ht="18" customHeight="1">
      <c r="A5659" s="4" t="s">
        <v>188</v>
      </c>
      <c r="B5659" s="4" t="str">
        <f>"2020022506"</f>
        <v>2020022506</v>
      </c>
      <c r="C5659" s="5">
        <v>0</v>
      </c>
      <c r="D5659" s="6">
        <v>0</v>
      </c>
      <c r="E5659" s="7">
        <f t="shared" si="88"/>
        <v>0</v>
      </c>
      <c r="F5659" s="8" t="s">
        <v>8</v>
      </c>
    </row>
    <row r="5660" spans="1:6" ht="18" customHeight="1">
      <c r="A5660" s="4" t="s">
        <v>188</v>
      </c>
      <c r="B5660" s="4" t="str">
        <f>"2020032127"</f>
        <v>2020032127</v>
      </c>
      <c r="C5660" s="5">
        <v>0</v>
      </c>
      <c r="D5660" s="6">
        <v>0</v>
      </c>
      <c r="E5660" s="7">
        <f t="shared" si="88"/>
        <v>0</v>
      </c>
      <c r="F5660" s="8" t="s">
        <v>8</v>
      </c>
    </row>
    <row r="5661" spans="1:6" ht="18" customHeight="1">
      <c r="A5661" s="4" t="s">
        <v>188</v>
      </c>
      <c r="B5661" s="4" t="str">
        <f>"2020040629"</f>
        <v>2020040629</v>
      </c>
      <c r="C5661" s="5">
        <v>0</v>
      </c>
      <c r="D5661" s="6">
        <v>0</v>
      </c>
      <c r="E5661" s="7">
        <f t="shared" si="88"/>
        <v>0</v>
      </c>
      <c r="F5661" s="8" t="s">
        <v>8</v>
      </c>
    </row>
    <row r="5662" spans="1:6" ht="18" customHeight="1">
      <c r="A5662" s="4" t="s">
        <v>188</v>
      </c>
      <c r="B5662" s="4" t="str">
        <f>"2020043009"</f>
        <v>2020043009</v>
      </c>
      <c r="C5662" s="5">
        <v>0</v>
      </c>
      <c r="D5662" s="6">
        <v>0</v>
      </c>
      <c r="E5662" s="7">
        <f t="shared" si="88"/>
        <v>0</v>
      </c>
      <c r="F5662" s="8" t="s">
        <v>8</v>
      </c>
    </row>
    <row r="5663" spans="1:6" ht="18" customHeight="1">
      <c r="A5663" s="4" t="s">
        <v>188</v>
      </c>
      <c r="B5663" s="4" t="str">
        <f>"2020047405"</f>
        <v>2020047405</v>
      </c>
      <c r="C5663" s="5">
        <v>0</v>
      </c>
      <c r="D5663" s="6">
        <v>0</v>
      </c>
      <c r="E5663" s="7">
        <f t="shared" si="88"/>
        <v>0</v>
      </c>
      <c r="F5663" s="8" t="s">
        <v>8</v>
      </c>
    </row>
    <row r="5664" spans="1:6" ht="18" customHeight="1">
      <c r="A5664" s="4" t="s">
        <v>189</v>
      </c>
      <c r="B5664" s="4" t="str">
        <f>"2020010119"</f>
        <v>2020010119</v>
      </c>
      <c r="C5664" s="5">
        <v>62.6</v>
      </c>
      <c r="D5664" s="6">
        <v>82.5</v>
      </c>
      <c r="E5664" s="7">
        <f t="shared" si="88"/>
        <v>145.1</v>
      </c>
      <c r="F5664" s="8"/>
    </row>
    <row r="5665" spans="1:6" ht="18" customHeight="1">
      <c r="A5665" s="4" t="s">
        <v>189</v>
      </c>
      <c r="B5665" s="4" t="str">
        <f>"2020024623"</f>
        <v>2020024623</v>
      </c>
      <c r="C5665" s="5">
        <v>67.3</v>
      </c>
      <c r="D5665" s="6">
        <v>71.5</v>
      </c>
      <c r="E5665" s="7">
        <f t="shared" si="88"/>
        <v>138.80000000000001</v>
      </c>
      <c r="F5665" s="8"/>
    </row>
    <row r="5666" spans="1:6" ht="18" customHeight="1">
      <c r="A5666" s="4" t="s">
        <v>189</v>
      </c>
      <c r="B5666" s="4" t="str">
        <f>"2020046528"</f>
        <v>2020046528</v>
      </c>
      <c r="C5666" s="5">
        <v>66.3</v>
      </c>
      <c r="D5666" s="6">
        <v>70</v>
      </c>
      <c r="E5666" s="7">
        <f t="shared" si="88"/>
        <v>136.30000000000001</v>
      </c>
      <c r="F5666" s="8"/>
    </row>
    <row r="5667" spans="1:6" ht="18" customHeight="1">
      <c r="A5667" s="4" t="s">
        <v>189</v>
      </c>
      <c r="B5667" s="4" t="str">
        <f>"2020032327"</f>
        <v>2020032327</v>
      </c>
      <c r="C5667" s="5">
        <v>63</v>
      </c>
      <c r="D5667" s="6">
        <v>69</v>
      </c>
      <c r="E5667" s="7">
        <f t="shared" si="88"/>
        <v>132</v>
      </c>
      <c r="F5667" s="8"/>
    </row>
    <row r="5668" spans="1:6" ht="18" customHeight="1">
      <c r="A5668" s="4" t="s">
        <v>189</v>
      </c>
      <c r="B5668" s="4" t="str">
        <f>"2020043226"</f>
        <v>2020043226</v>
      </c>
      <c r="C5668" s="5">
        <v>66.3</v>
      </c>
      <c r="D5668" s="6">
        <v>65</v>
      </c>
      <c r="E5668" s="7">
        <f t="shared" si="88"/>
        <v>131.30000000000001</v>
      </c>
      <c r="F5668" s="8"/>
    </row>
    <row r="5669" spans="1:6" ht="18" customHeight="1">
      <c r="A5669" s="4" t="s">
        <v>189</v>
      </c>
      <c r="B5669" s="4" t="str">
        <f>"2020031710"</f>
        <v>2020031710</v>
      </c>
      <c r="C5669" s="5">
        <v>60.2</v>
      </c>
      <c r="D5669" s="6">
        <v>52.5</v>
      </c>
      <c r="E5669" s="7">
        <f t="shared" si="88"/>
        <v>112.7</v>
      </c>
      <c r="F5669" s="8"/>
    </row>
    <row r="5670" spans="1:6" ht="18" customHeight="1">
      <c r="A5670" s="4" t="s">
        <v>189</v>
      </c>
      <c r="B5670" s="4" t="str">
        <f>"2020044510"</f>
        <v>2020044510</v>
      </c>
      <c r="C5670" s="5">
        <v>54.7</v>
      </c>
      <c r="D5670" s="6">
        <v>53.5</v>
      </c>
      <c r="E5670" s="7">
        <f t="shared" si="88"/>
        <v>108.2</v>
      </c>
      <c r="F5670" s="8"/>
    </row>
    <row r="5671" spans="1:6" ht="18" customHeight="1">
      <c r="A5671" s="4" t="s">
        <v>189</v>
      </c>
      <c r="B5671" s="4" t="str">
        <f>"2020045006"</f>
        <v>2020045006</v>
      </c>
      <c r="C5671" s="5">
        <v>50.1</v>
      </c>
      <c r="D5671" s="6">
        <v>43.5</v>
      </c>
      <c r="E5671" s="7">
        <f t="shared" si="88"/>
        <v>93.6</v>
      </c>
      <c r="F5671" s="8"/>
    </row>
    <row r="5672" spans="1:6" ht="18" customHeight="1">
      <c r="A5672" s="4" t="s">
        <v>189</v>
      </c>
      <c r="B5672" s="4" t="str">
        <f>"2020011808"</f>
        <v>2020011808</v>
      </c>
      <c r="C5672" s="5">
        <v>0</v>
      </c>
      <c r="D5672" s="6">
        <v>0</v>
      </c>
      <c r="E5672" s="7">
        <f t="shared" si="88"/>
        <v>0</v>
      </c>
      <c r="F5672" s="9" t="s">
        <v>8</v>
      </c>
    </row>
    <row r="5673" spans="1:6" ht="18" customHeight="1">
      <c r="A5673" s="4" t="s">
        <v>189</v>
      </c>
      <c r="B5673" s="4" t="str">
        <f>"2020012321"</f>
        <v>2020012321</v>
      </c>
      <c r="C5673" s="5">
        <v>0</v>
      </c>
      <c r="D5673" s="6">
        <v>0</v>
      </c>
      <c r="E5673" s="7">
        <f t="shared" si="88"/>
        <v>0</v>
      </c>
      <c r="F5673" s="9" t="s">
        <v>8</v>
      </c>
    </row>
    <row r="5674" spans="1:6" ht="18" customHeight="1">
      <c r="A5674" s="4" t="s">
        <v>189</v>
      </c>
      <c r="B5674" s="4" t="str">
        <f>"2020013911"</f>
        <v>2020013911</v>
      </c>
      <c r="C5674" s="5">
        <v>0</v>
      </c>
      <c r="D5674" s="6">
        <v>0</v>
      </c>
      <c r="E5674" s="7">
        <f t="shared" si="88"/>
        <v>0</v>
      </c>
      <c r="F5674" s="9" t="s">
        <v>8</v>
      </c>
    </row>
    <row r="5675" spans="1:6" ht="18" customHeight="1">
      <c r="A5675" s="4" t="s">
        <v>189</v>
      </c>
      <c r="B5675" s="4" t="str">
        <f>"2020013913"</f>
        <v>2020013913</v>
      </c>
      <c r="C5675" s="5">
        <v>0</v>
      </c>
      <c r="D5675" s="6">
        <v>0</v>
      </c>
      <c r="E5675" s="7">
        <f t="shared" si="88"/>
        <v>0</v>
      </c>
      <c r="F5675" s="9" t="s">
        <v>8</v>
      </c>
    </row>
    <row r="5676" spans="1:6" ht="18" customHeight="1">
      <c r="A5676" s="4" t="s">
        <v>189</v>
      </c>
      <c r="B5676" s="4" t="str">
        <f>"2020032220"</f>
        <v>2020032220</v>
      </c>
      <c r="C5676" s="5">
        <v>0</v>
      </c>
      <c r="D5676" s="6">
        <v>0</v>
      </c>
      <c r="E5676" s="7">
        <f t="shared" si="88"/>
        <v>0</v>
      </c>
      <c r="F5676" s="8" t="s">
        <v>8</v>
      </c>
    </row>
    <row r="5677" spans="1:6" ht="18" customHeight="1">
      <c r="A5677" s="4" t="s">
        <v>189</v>
      </c>
      <c r="B5677" s="4" t="str">
        <f>"2020033522"</f>
        <v>2020033522</v>
      </c>
      <c r="C5677" s="5">
        <v>0</v>
      </c>
      <c r="D5677" s="6">
        <v>0</v>
      </c>
      <c r="E5677" s="7">
        <f t="shared" si="88"/>
        <v>0</v>
      </c>
      <c r="F5677" s="8" t="s">
        <v>8</v>
      </c>
    </row>
    <row r="5678" spans="1:6" ht="18" customHeight="1">
      <c r="A5678" s="4" t="s">
        <v>189</v>
      </c>
      <c r="B5678" s="4" t="str">
        <f>"2020045726"</f>
        <v>2020045726</v>
      </c>
      <c r="C5678" s="5">
        <v>0</v>
      </c>
      <c r="D5678" s="6">
        <v>0</v>
      </c>
      <c r="E5678" s="7">
        <f t="shared" si="88"/>
        <v>0</v>
      </c>
      <c r="F5678" s="8" t="s">
        <v>8</v>
      </c>
    </row>
    <row r="5679" spans="1:6" ht="18" customHeight="1">
      <c r="A5679" s="4" t="s">
        <v>190</v>
      </c>
      <c r="B5679" s="4" t="str">
        <f>"2020045303"</f>
        <v>2020045303</v>
      </c>
      <c r="C5679" s="5">
        <v>64.900000000000006</v>
      </c>
      <c r="D5679" s="6">
        <v>68</v>
      </c>
      <c r="E5679" s="7">
        <f t="shared" si="88"/>
        <v>132.9</v>
      </c>
      <c r="F5679" s="8"/>
    </row>
    <row r="5680" spans="1:6" ht="18" customHeight="1">
      <c r="A5680" s="4" t="s">
        <v>190</v>
      </c>
      <c r="B5680" s="4" t="str">
        <f>"2020045814"</f>
        <v>2020045814</v>
      </c>
      <c r="C5680" s="5">
        <v>63.3</v>
      </c>
      <c r="D5680" s="6">
        <v>64</v>
      </c>
      <c r="E5680" s="7">
        <f t="shared" si="88"/>
        <v>127.3</v>
      </c>
      <c r="F5680" s="8"/>
    </row>
    <row r="5681" spans="1:6" ht="18" customHeight="1">
      <c r="A5681" s="4" t="s">
        <v>190</v>
      </c>
      <c r="B5681" s="4" t="str">
        <f>"2020014012"</f>
        <v>2020014012</v>
      </c>
      <c r="C5681" s="5">
        <v>61.5</v>
      </c>
      <c r="D5681" s="6">
        <v>59.5</v>
      </c>
      <c r="E5681" s="7">
        <f t="shared" si="88"/>
        <v>121</v>
      </c>
      <c r="F5681" s="8"/>
    </row>
    <row r="5682" spans="1:6" ht="18" customHeight="1">
      <c r="A5682" s="4" t="s">
        <v>190</v>
      </c>
      <c r="B5682" s="4" t="str">
        <f>"2020024207"</f>
        <v>2020024207</v>
      </c>
      <c r="C5682" s="5">
        <v>58</v>
      </c>
      <c r="D5682" s="6">
        <v>62.5</v>
      </c>
      <c r="E5682" s="7">
        <f t="shared" si="88"/>
        <v>120.5</v>
      </c>
      <c r="F5682" s="8"/>
    </row>
    <row r="5683" spans="1:6" ht="18" customHeight="1">
      <c r="A5683" s="4" t="s">
        <v>190</v>
      </c>
      <c r="B5683" s="4" t="str">
        <f>"2020040523"</f>
        <v>2020040523</v>
      </c>
      <c r="C5683" s="5">
        <v>61.6</v>
      </c>
      <c r="D5683" s="6">
        <v>54</v>
      </c>
      <c r="E5683" s="7">
        <f t="shared" si="88"/>
        <v>115.6</v>
      </c>
      <c r="F5683" s="8"/>
    </row>
    <row r="5684" spans="1:6" ht="18" customHeight="1">
      <c r="A5684" s="4" t="s">
        <v>190</v>
      </c>
      <c r="B5684" s="4" t="str">
        <f>"2020021630"</f>
        <v>2020021630</v>
      </c>
      <c r="C5684" s="5">
        <v>60.6</v>
      </c>
      <c r="D5684" s="6">
        <v>54.5</v>
      </c>
      <c r="E5684" s="7">
        <f t="shared" si="88"/>
        <v>115.1</v>
      </c>
      <c r="F5684" s="8"/>
    </row>
    <row r="5685" spans="1:6" ht="18" customHeight="1">
      <c r="A5685" s="4" t="s">
        <v>190</v>
      </c>
      <c r="B5685" s="4" t="str">
        <f>"2020046411"</f>
        <v>2020046411</v>
      </c>
      <c r="C5685" s="5">
        <v>60.3</v>
      </c>
      <c r="D5685" s="6">
        <v>48.5</v>
      </c>
      <c r="E5685" s="7">
        <f t="shared" si="88"/>
        <v>108.8</v>
      </c>
      <c r="F5685" s="8"/>
    </row>
    <row r="5686" spans="1:6" ht="18" customHeight="1">
      <c r="A5686" s="4" t="s">
        <v>190</v>
      </c>
      <c r="B5686" s="4" t="str">
        <f>"2020021914"</f>
        <v>2020021914</v>
      </c>
      <c r="C5686" s="5">
        <v>56.8</v>
      </c>
      <c r="D5686" s="6">
        <v>51.5</v>
      </c>
      <c r="E5686" s="7">
        <f t="shared" si="88"/>
        <v>108.3</v>
      </c>
      <c r="F5686" s="8"/>
    </row>
    <row r="5687" spans="1:6" ht="18" customHeight="1">
      <c r="A5687" s="4" t="s">
        <v>190</v>
      </c>
      <c r="B5687" s="4" t="str">
        <f>"2020041723"</f>
        <v>2020041723</v>
      </c>
      <c r="C5687" s="5">
        <v>0</v>
      </c>
      <c r="D5687" s="6">
        <v>0</v>
      </c>
      <c r="E5687" s="7">
        <f t="shared" si="88"/>
        <v>0</v>
      </c>
      <c r="F5687" s="8" t="s">
        <v>8</v>
      </c>
    </row>
    <row r="5688" spans="1:6" ht="18" customHeight="1">
      <c r="A5688" s="4" t="s">
        <v>191</v>
      </c>
      <c r="B5688" s="4" t="str">
        <f>"2020033808"</f>
        <v>2020033808</v>
      </c>
      <c r="C5688" s="5">
        <v>80.400000000000006</v>
      </c>
      <c r="D5688" s="6">
        <v>80</v>
      </c>
      <c r="E5688" s="7">
        <f t="shared" si="88"/>
        <v>160.4</v>
      </c>
      <c r="F5688" s="8"/>
    </row>
    <row r="5689" spans="1:6" ht="18" customHeight="1">
      <c r="A5689" s="4" t="s">
        <v>191</v>
      </c>
      <c r="B5689" s="4" t="str">
        <f>"2020021009"</f>
        <v>2020021009</v>
      </c>
      <c r="C5689" s="5">
        <v>78.099999999999994</v>
      </c>
      <c r="D5689" s="6">
        <v>78.5</v>
      </c>
      <c r="E5689" s="7">
        <f t="shared" si="88"/>
        <v>156.6</v>
      </c>
      <c r="F5689" s="8"/>
    </row>
    <row r="5690" spans="1:6" ht="18" customHeight="1">
      <c r="A5690" s="4" t="s">
        <v>191</v>
      </c>
      <c r="B5690" s="4" t="str">
        <f>"2020046019"</f>
        <v>2020046019</v>
      </c>
      <c r="C5690" s="5">
        <v>66.599999999999994</v>
      </c>
      <c r="D5690" s="6">
        <v>87.5</v>
      </c>
      <c r="E5690" s="7">
        <f t="shared" si="88"/>
        <v>154.1</v>
      </c>
      <c r="F5690" s="8"/>
    </row>
    <row r="5691" spans="1:6" ht="18" customHeight="1">
      <c r="A5691" s="4" t="s">
        <v>191</v>
      </c>
      <c r="B5691" s="4" t="str">
        <f>"2020020104"</f>
        <v>2020020104</v>
      </c>
      <c r="C5691" s="5">
        <v>66.599999999999994</v>
      </c>
      <c r="D5691" s="6">
        <v>84</v>
      </c>
      <c r="E5691" s="7">
        <f t="shared" si="88"/>
        <v>150.6</v>
      </c>
      <c r="F5691" s="8"/>
    </row>
    <row r="5692" spans="1:6" ht="18" customHeight="1">
      <c r="A5692" s="4" t="s">
        <v>191</v>
      </c>
      <c r="B5692" s="4" t="str">
        <f>"2020023515"</f>
        <v>2020023515</v>
      </c>
      <c r="C5692" s="5">
        <v>63.8</v>
      </c>
      <c r="D5692" s="6">
        <v>86.5</v>
      </c>
      <c r="E5692" s="7">
        <f t="shared" si="88"/>
        <v>150.30000000000001</v>
      </c>
      <c r="F5692" s="8"/>
    </row>
    <row r="5693" spans="1:6" ht="18" customHeight="1">
      <c r="A5693" s="4" t="s">
        <v>191</v>
      </c>
      <c r="B5693" s="4" t="str">
        <f>"2020044718"</f>
        <v>2020044718</v>
      </c>
      <c r="C5693" s="5">
        <v>77.599999999999994</v>
      </c>
      <c r="D5693" s="6">
        <v>72.5</v>
      </c>
      <c r="E5693" s="7">
        <f t="shared" si="88"/>
        <v>150.1</v>
      </c>
      <c r="F5693" s="8"/>
    </row>
    <row r="5694" spans="1:6" ht="18" customHeight="1">
      <c r="A5694" s="4" t="s">
        <v>191</v>
      </c>
      <c r="B5694" s="4" t="str">
        <f>"2020046227"</f>
        <v>2020046227</v>
      </c>
      <c r="C5694" s="5">
        <v>71.5</v>
      </c>
      <c r="D5694" s="6">
        <v>76</v>
      </c>
      <c r="E5694" s="7">
        <f t="shared" si="88"/>
        <v>147.5</v>
      </c>
      <c r="F5694" s="8"/>
    </row>
    <row r="5695" spans="1:6" ht="18" customHeight="1">
      <c r="A5695" s="4" t="s">
        <v>191</v>
      </c>
      <c r="B5695" s="4" t="str">
        <f>"2020021411"</f>
        <v>2020021411</v>
      </c>
      <c r="C5695" s="5">
        <v>74.900000000000006</v>
      </c>
      <c r="D5695" s="6">
        <v>69.5</v>
      </c>
      <c r="E5695" s="7">
        <f t="shared" si="88"/>
        <v>144.4</v>
      </c>
      <c r="F5695" s="8"/>
    </row>
    <row r="5696" spans="1:6" ht="18" customHeight="1">
      <c r="A5696" s="4" t="s">
        <v>191</v>
      </c>
      <c r="B5696" s="4" t="str">
        <f>"2020031414"</f>
        <v>2020031414</v>
      </c>
      <c r="C5696" s="5">
        <v>68.3</v>
      </c>
      <c r="D5696" s="6">
        <v>73.5</v>
      </c>
      <c r="E5696" s="7">
        <f t="shared" si="88"/>
        <v>141.80000000000001</v>
      </c>
      <c r="F5696" s="8"/>
    </row>
    <row r="5697" spans="1:6" ht="18" customHeight="1">
      <c r="A5697" s="4" t="s">
        <v>191</v>
      </c>
      <c r="B5697" s="4" t="str">
        <f>"2020033724"</f>
        <v>2020033724</v>
      </c>
      <c r="C5697" s="5">
        <v>66.099999999999994</v>
      </c>
      <c r="D5697" s="6">
        <v>75.5</v>
      </c>
      <c r="E5697" s="7">
        <f t="shared" si="88"/>
        <v>141.6</v>
      </c>
      <c r="F5697" s="8"/>
    </row>
    <row r="5698" spans="1:6" ht="18" customHeight="1">
      <c r="A5698" s="4" t="s">
        <v>191</v>
      </c>
      <c r="B5698" s="4" t="str">
        <f>"2020022406"</f>
        <v>2020022406</v>
      </c>
      <c r="C5698" s="5">
        <v>63.7</v>
      </c>
      <c r="D5698" s="6">
        <v>73</v>
      </c>
      <c r="E5698" s="7">
        <f t="shared" si="88"/>
        <v>136.69999999999999</v>
      </c>
      <c r="F5698" s="8"/>
    </row>
    <row r="5699" spans="1:6" ht="18" customHeight="1">
      <c r="A5699" s="4" t="s">
        <v>191</v>
      </c>
      <c r="B5699" s="4" t="str">
        <f>"2020032620"</f>
        <v>2020032620</v>
      </c>
      <c r="C5699" s="5">
        <v>60</v>
      </c>
      <c r="D5699" s="6">
        <v>74</v>
      </c>
      <c r="E5699" s="7">
        <f t="shared" ref="E5699:E5762" si="89">SUM(C5699:D5699)</f>
        <v>134</v>
      </c>
      <c r="F5699" s="8"/>
    </row>
    <row r="5700" spans="1:6" ht="18" customHeight="1">
      <c r="A5700" s="4" t="s">
        <v>191</v>
      </c>
      <c r="B5700" s="4" t="str">
        <f>"2020030904"</f>
        <v>2020030904</v>
      </c>
      <c r="C5700" s="5">
        <v>66.5</v>
      </c>
      <c r="D5700" s="6">
        <v>67</v>
      </c>
      <c r="E5700" s="7">
        <f t="shared" si="89"/>
        <v>133.5</v>
      </c>
      <c r="F5700" s="8"/>
    </row>
    <row r="5701" spans="1:6" ht="18" customHeight="1">
      <c r="A5701" s="4" t="s">
        <v>191</v>
      </c>
      <c r="B5701" s="4" t="str">
        <f>"2020033301"</f>
        <v>2020033301</v>
      </c>
      <c r="C5701" s="5">
        <v>58.5</v>
      </c>
      <c r="D5701" s="6">
        <v>72</v>
      </c>
      <c r="E5701" s="7">
        <f t="shared" si="89"/>
        <v>130.5</v>
      </c>
      <c r="F5701" s="8"/>
    </row>
    <row r="5702" spans="1:6" ht="18" customHeight="1">
      <c r="A5702" s="4" t="s">
        <v>191</v>
      </c>
      <c r="B5702" s="4" t="str">
        <f>"2020013112"</f>
        <v>2020013112</v>
      </c>
      <c r="C5702" s="5">
        <v>69.7</v>
      </c>
      <c r="D5702" s="6">
        <v>60.5</v>
      </c>
      <c r="E5702" s="7">
        <f t="shared" si="89"/>
        <v>130.19999999999999</v>
      </c>
      <c r="F5702" s="8"/>
    </row>
    <row r="5703" spans="1:6" ht="18" customHeight="1">
      <c r="A5703" s="4" t="s">
        <v>191</v>
      </c>
      <c r="B5703" s="4" t="str">
        <f>"2020030319"</f>
        <v>2020030319</v>
      </c>
      <c r="C5703" s="5">
        <v>64</v>
      </c>
      <c r="D5703" s="6">
        <v>64.5</v>
      </c>
      <c r="E5703" s="7">
        <f t="shared" si="89"/>
        <v>128.5</v>
      </c>
      <c r="F5703" s="8"/>
    </row>
    <row r="5704" spans="1:6" ht="18" customHeight="1">
      <c r="A5704" s="4" t="s">
        <v>191</v>
      </c>
      <c r="B5704" s="4" t="str">
        <f>"2020021909"</f>
        <v>2020021909</v>
      </c>
      <c r="C5704" s="5">
        <v>66.099999999999994</v>
      </c>
      <c r="D5704" s="6">
        <v>60.5</v>
      </c>
      <c r="E5704" s="7">
        <f t="shared" si="89"/>
        <v>126.6</v>
      </c>
      <c r="F5704" s="8"/>
    </row>
    <row r="5705" spans="1:6" ht="18" customHeight="1">
      <c r="A5705" s="4" t="s">
        <v>191</v>
      </c>
      <c r="B5705" s="4" t="str">
        <f>"2020023930"</f>
        <v>2020023930</v>
      </c>
      <c r="C5705" s="5">
        <v>68</v>
      </c>
      <c r="D5705" s="6">
        <v>51.5</v>
      </c>
      <c r="E5705" s="7">
        <f t="shared" si="89"/>
        <v>119.5</v>
      </c>
      <c r="F5705" s="8"/>
    </row>
    <row r="5706" spans="1:6" ht="18" customHeight="1">
      <c r="A5706" s="4" t="s">
        <v>191</v>
      </c>
      <c r="B5706" s="4" t="str">
        <f>"2020041414"</f>
        <v>2020041414</v>
      </c>
      <c r="C5706" s="5">
        <v>64.599999999999994</v>
      </c>
      <c r="D5706" s="6">
        <v>53</v>
      </c>
      <c r="E5706" s="7">
        <f t="shared" si="89"/>
        <v>117.6</v>
      </c>
      <c r="F5706" s="8"/>
    </row>
    <row r="5707" spans="1:6" ht="18" customHeight="1">
      <c r="A5707" s="4" t="s">
        <v>191</v>
      </c>
      <c r="B5707" s="4" t="str">
        <f>"2020023121"</f>
        <v>2020023121</v>
      </c>
      <c r="C5707" s="5">
        <v>0</v>
      </c>
      <c r="D5707" s="6">
        <v>0</v>
      </c>
      <c r="E5707" s="7">
        <f t="shared" si="89"/>
        <v>0</v>
      </c>
      <c r="F5707" s="8" t="s">
        <v>8</v>
      </c>
    </row>
    <row r="5708" spans="1:6" ht="18" customHeight="1">
      <c r="A5708" s="4" t="s">
        <v>191</v>
      </c>
      <c r="B5708" s="4" t="str">
        <f>"2020046723"</f>
        <v>2020046723</v>
      </c>
      <c r="C5708" s="5">
        <v>0</v>
      </c>
      <c r="D5708" s="6">
        <v>0</v>
      </c>
      <c r="E5708" s="7">
        <f t="shared" si="89"/>
        <v>0</v>
      </c>
      <c r="F5708" s="8" t="s">
        <v>8</v>
      </c>
    </row>
    <row r="5709" spans="1:6" ht="18" customHeight="1">
      <c r="A5709" s="4" t="s">
        <v>192</v>
      </c>
      <c r="B5709" s="4" t="str">
        <f>"2020042215"</f>
        <v>2020042215</v>
      </c>
      <c r="C5709" s="5">
        <v>75.099999999999994</v>
      </c>
      <c r="D5709" s="6">
        <v>76</v>
      </c>
      <c r="E5709" s="7">
        <f t="shared" si="89"/>
        <v>151.1</v>
      </c>
      <c r="F5709" s="8"/>
    </row>
    <row r="5710" spans="1:6" ht="18" customHeight="1">
      <c r="A5710" s="4" t="s">
        <v>192</v>
      </c>
      <c r="B5710" s="4" t="str">
        <f>"2020045521"</f>
        <v>2020045521</v>
      </c>
      <c r="C5710" s="5">
        <v>71.099999999999994</v>
      </c>
      <c r="D5710" s="6">
        <v>72</v>
      </c>
      <c r="E5710" s="7">
        <f t="shared" si="89"/>
        <v>143.1</v>
      </c>
      <c r="F5710" s="8"/>
    </row>
    <row r="5711" spans="1:6" ht="18" customHeight="1">
      <c r="A5711" s="4" t="s">
        <v>192</v>
      </c>
      <c r="B5711" s="4" t="str">
        <f>"2020021726"</f>
        <v>2020021726</v>
      </c>
      <c r="C5711" s="5">
        <v>62.1</v>
      </c>
      <c r="D5711" s="6">
        <v>76.5</v>
      </c>
      <c r="E5711" s="7">
        <f t="shared" si="89"/>
        <v>138.6</v>
      </c>
      <c r="F5711" s="8"/>
    </row>
    <row r="5712" spans="1:6" ht="18" customHeight="1">
      <c r="A5712" s="4" t="s">
        <v>192</v>
      </c>
      <c r="B5712" s="4" t="str">
        <f>"2020020628"</f>
        <v>2020020628</v>
      </c>
      <c r="C5712" s="5">
        <v>72.099999999999994</v>
      </c>
      <c r="D5712" s="6">
        <v>61.5</v>
      </c>
      <c r="E5712" s="7">
        <f t="shared" si="89"/>
        <v>133.6</v>
      </c>
      <c r="F5712" s="8"/>
    </row>
    <row r="5713" spans="1:6" ht="18" customHeight="1">
      <c r="A5713" s="4" t="s">
        <v>192</v>
      </c>
      <c r="B5713" s="4" t="str">
        <f>"2020040513"</f>
        <v>2020040513</v>
      </c>
      <c r="C5713" s="5">
        <v>71.3</v>
      </c>
      <c r="D5713" s="6">
        <v>60</v>
      </c>
      <c r="E5713" s="7">
        <f t="shared" si="89"/>
        <v>131.30000000000001</v>
      </c>
      <c r="F5713" s="8"/>
    </row>
    <row r="5714" spans="1:6" ht="18" customHeight="1">
      <c r="A5714" s="4" t="s">
        <v>192</v>
      </c>
      <c r="B5714" s="4" t="str">
        <f>"2020046701"</f>
        <v>2020046701</v>
      </c>
      <c r="C5714" s="5">
        <v>65.2</v>
      </c>
      <c r="D5714" s="6">
        <v>62</v>
      </c>
      <c r="E5714" s="7">
        <f t="shared" si="89"/>
        <v>127.2</v>
      </c>
      <c r="F5714" s="8"/>
    </row>
    <row r="5715" spans="1:6" ht="18" customHeight="1">
      <c r="A5715" s="4" t="s">
        <v>192</v>
      </c>
      <c r="B5715" s="4" t="str">
        <f>"2020034030"</f>
        <v>2020034030</v>
      </c>
      <c r="C5715" s="5">
        <v>63</v>
      </c>
      <c r="D5715" s="6">
        <v>53.5</v>
      </c>
      <c r="E5715" s="7">
        <f t="shared" si="89"/>
        <v>116.5</v>
      </c>
      <c r="F5715" s="8"/>
    </row>
    <row r="5716" spans="1:6" ht="18" customHeight="1">
      <c r="A5716" s="4" t="s">
        <v>192</v>
      </c>
      <c r="B5716" s="4" t="str">
        <f>"2020030812"</f>
        <v>2020030812</v>
      </c>
      <c r="C5716" s="5">
        <v>0</v>
      </c>
      <c r="D5716" s="6">
        <v>0</v>
      </c>
      <c r="E5716" s="7">
        <f t="shared" si="89"/>
        <v>0</v>
      </c>
      <c r="F5716" s="8" t="s">
        <v>8</v>
      </c>
    </row>
    <row r="5717" spans="1:6" ht="18" customHeight="1">
      <c r="A5717" s="4" t="s">
        <v>193</v>
      </c>
      <c r="B5717" s="4" t="str">
        <f>"2020024505"</f>
        <v>2020024505</v>
      </c>
      <c r="C5717" s="5">
        <v>65.400000000000006</v>
      </c>
      <c r="D5717" s="6">
        <v>68.5</v>
      </c>
      <c r="E5717" s="7">
        <f t="shared" si="89"/>
        <v>133.9</v>
      </c>
      <c r="F5717" s="8"/>
    </row>
    <row r="5718" spans="1:6" ht="18" customHeight="1">
      <c r="A5718" s="4" t="s">
        <v>193</v>
      </c>
      <c r="B5718" s="4" t="str">
        <f>"2020033818"</f>
        <v>2020033818</v>
      </c>
      <c r="C5718" s="5">
        <v>67.400000000000006</v>
      </c>
      <c r="D5718" s="6">
        <v>56</v>
      </c>
      <c r="E5718" s="7">
        <f t="shared" si="89"/>
        <v>123.4</v>
      </c>
      <c r="F5718" s="8"/>
    </row>
    <row r="5719" spans="1:6" ht="18" customHeight="1">
      <c r="A5719" s="4" t="s">
        <v>193</v>
      </c>
      <c r="B5719" s="4" t="str">
        <f>"2020043416"</f>
        <v>2020043416</v>
      </c>
      <c r="C5719" s="5">
        <v>63.2</v>
      </c>
      <c r="D5719" s="6">
        <v>56</v>
      </c>
      <c r="E5719" s="7">
        <f t="shared" si="89"/>
        <v>119.2</v>
      </c>
      <c r="F5719" s="8"/>
    </row>
    <row r="5720" spans="1:6" ht="18" customHeight="1">
      <c r="A5720" s="4" t="s">
        <v>193</v>
      </c>
      <c r="B5720" s="4" t="str">
        <f>"2020042901"</f>
        <v>2020042901</v>
      </c>
      <c r="C5720" s="5">
        <v>60.1</v>
      </c>
      <c r="D5720" s="6">
        <v>54.5</v>
      </c>
      <c r="E5720" s="7">
        <f t="shared" si="89"/>
        <v>114.6</v>
      </c>
      <c r="F5720" s="8"/>
    </row>
    <row r="5721" spans="1:6" ht="18" customHeight="1">
      <c r="A5721" s="4" t="s">
        <v>193</v>
      </c>
      <c r="B5721" s="4" t="str">
        <f>"2020012430"</f>
        <v>2020012430</v>
      </c>
      <c r="C5721" s="5">
        <v>0</v>
      </c>
      <c r="D5721" s="6">
        <v>0</v>
      </c>
      <c r="E5721" s="7">
        <f t="shared" si="89"/>
        <v>0</v>
      </c>
      <c r="F5721" s="9" t="s">
        <v>8</v>
      </c>
    </row>
    <row r="5722" spans="1:6" ht="18" customHeight="1">
      <c r="A5722" s="4" t="s">
        <v>194</v>
      </c>
      <c r="B5722" s="4" t="str">
        <f>"2020041624"</f>
        <v>2020041624</v>
      </c>
      <c r="C5722" s="5">
        <v>70.5</v>
      </c>
      <c r="D5722" s="6">
        <v>80.5</v>
      </c>
      <c r="E5722" s="7">
        <f t="shared" si="89"/>
        <v>151</v>
      </c>
      <c r="F5722" s="8"/>
    </row>
    <row r="5723" spans="1:6" ht="18" customHeight="1">
      <c r="A5723" s="4" t="s">
        <v>194</v>
      </c>
      <c r="B5723" s="4" t="str">
        <f>"2020045428"</f>
        <v>2020045428</v>
      </c>
      <c r="C5723" s="5">
        <v>69.3</v>
      </c>
      <c r="D5723" s="6">
        <v>78.5</v>
      </c>
      <c r="E5723" s="7">
        <f t="shared" si="89"/>
        <v>147.80000000000001</v>
      </c>
      <c r="F5723" s="8"/>
    </row>
    <row r="5724" spans="1:6" ht="18" customHeight="1">
      <c r="A5724" s="4" t="s">
        <v>194</v>
      </c>
      <c r="B5724" s="4" t="str">
        <f>"2020033809"</f>
        <v>2020033809</v>
      </c>
      <c r="C5724" s="5">
        <v>72.2</v>
      </c>
      <c r="D5724" s="6">
        <v>73</v>
      </c>
      <c r="E5724" s="7">
        <f t="shared" si="89"/>
        <v>145.19999999999999</v>
      </c>
      <c r="F5724" s="8"/>
    </row>
    <row r="5725" spans="1:6" ht="18" customHeight="1">
      <c r="A5725" s="4" t="s">
        <v>194</v>
      </c>
      <c r="B5725" s="4" t="str">
        <f>"2020040226"</f>
        <v>2020040226</v>
      </c>
      <c r="C5725" s="5">
        <v>73.7</v>
      </c>
      <c r="D5725" s="6">
        <v>65.5</v>
      </c>
      <c r="E5725" s="7">
        <f t="shared" si="89"/>
        <v>139.19999999999999</v>
      </c>
      <c r="F5725" s="8"/>
    </row>
    <row r="5726" spans="1:6" ht="18" customHeight="1">
      <c r="A5726" s="4" t="s">
        <v>194</v>
      </c>
      <c r="B5726" s="4" t="str">
        <f>"2020022320"</f>
        <v>2020022320</v>
      </c>
      <c r="C5726" s="5">
        <v>60.7</v>
      </c>
      <c r="D5726" s="6">
        <v>78</v>
      </c>
      <c r="E5726" s="7">
        <f t="shared" si="89"/>
        <v>138.69999999999999</v>
      </c>
      <c r="F5726" s="8"/>
    </row>
    <row r="5727" spans="1:6" ht="18" customHeight="1">
      <c r="A5727" s="4" t="s">
        <v>194</v>
      </c>
      <c r="B5727" s="4" t="str">
        <f>"2020013408"</f>
        <v>2020013408</v>
      </c>
      <c r="C5727" s="5">
        <v>71</v>
      </c>
      <c r="D5727" s="6">
        <v>65.5</v>
      </c>
      <c r="E5727" s="7">
        <f t="shared" si="89"/>
        <v>136.5</v>
      </c>
      <c r="F5727" s="8"/>
    </row>
    <row r="5728" spans="1:6" ht="18" customHeight="1">
      <c r="A5728" s="4" t="s">
        <v>194</v>
      </c>
      <c r="B5728" s="4" t="str">
        <f>"2020021317"</f>
        <v>2020021317</v>
      </c>
      <c r="C5728" s="5">
        <v>61.5</v>
      </c>
      <c r="D5728" s="6">
        <v>69</v>
      </c>
      <c r="E5728" s="7">
        <f t="shared" si="89"/>
        <v>130.5</v>
      </c>
      <c r="F5728" s="8"/>
    </row>
    <row r="5729" spans="1:6" ht="18" customHeight="1">
      <c r="A5729" s="4" t="s">
        <v>194</v>
      </c>
      <c r="B5729" s="4" t="str">
        <f>"2020012014"</f>
        <v>2020012014</v>
      </c>
      <c r="C5729" s="5">
        <v>52.8</v>
      </c>
      <c r="D5729" s="6">
        <v>70.5</v>
      </c>
      <c r="E5729" s="7">
        <f t="shared" si="89"/>
        <v>123.3</v>
      </c>
      <c r="F5729" s="8"/>
    </row>
    <row r="5730" spans="1:6" ht="18" customHeight="1">
      <c r="A5730" s="4" t="s">
        <v>194</v>
      </c>
      <c r="B5730" s="4" t="str">
        <f>"2020013102"</f>
        <v>2020013102</v>
      </c>
      <c r="C5730" s="5">
        <v>0</v>
      </c>
      <c r="D5730" s="6">
        <v>0</v>
      </c>
      <c r="E5730" s="7">
        <f t="shared" si="89"/>
        <v>0</v>
      </c>
      <c r="F5730" s="9" t="s">
        <v>8</v>
      </c>
    </row>
    <row r="5731" spans="1:6" ht="18" customHeight="1">
      <c r="A5731" s="4" t="s">
        <v>194</v>
      </c>
      <c r="B5731" s="4" t="str">
        <f>"2020022402"</f>
        <v>2020022402</v>
      </c>
      <c r="C5731" s="5">
        <v>0</v>
      </c>
      <c r="D5731" s="6">
        <v>0</v>
      </c>
      <c r="E5731" s="7">
        <f t="shared" si="89"/>
        <v>0</v>
      </c>
      <c r="F5731" s="8" t="s">
        <v>8</v>
      </c>
    </row>
    <row r="5732" spans="1:6" ht="18" customHeight="1">
      <c r="A5732" s="4" t="s">
        <v>194</v>
      </c>
      <c r="B5732" s="4" t="str">
        <f>"2020030225"</f>
        <v>2020030225</v>
      </c>
      <c r="C5732" s="5">
        <v>0</v>
      </c>
      <c r="D5732" s="6">
        <v>0</v>
      </c>
      <c r="E5732" s="7">
        <f t="shared" si="89"/>
        <v>0</v>
      </c>
      <c r="F5732" s="8" t="s">
        <v>8</v>
      </c>
    </row>
    <row r="5733" spans="1:6" ht="18" customHeight="1">
      <c r="A5733" s="4" t="s">
        <v>194</v>
      </c>
      <c r="B5733" s="4" t="str">
        <f>"2020040607"</f>
        <v>2020040607</v>
      </c>
      <c r="C5733" s="5">
        <v>0</v>
      </c>
      <c r="D5733" s="6">
        <v>0</v>
      </c>
      <c r="E5733" s="7">
        <f t="shared" si="89"/>
        <v>0</v>
      </c>
      <c r="F5733" s="8" t="s">
        <v>8</v>
      </c>
    </row>
    <row r="5734" spans="1:6" ht="18" customHeight="1">
      <c r="A5734" s="4" t="s">
        <v>194</v>
      </c>
      <c r="B5734" s="4" t="str">
        <f>"2020042323"</f>
        <v>2020042323</v>
      </c>
      <c r="C5734" s="5">
        <v>0</v>
      </c>
      <c r="D5734" s="6">
        <v>0</v>
      </c>
      <c r="E5734" s="7">
        <f t="shared" si="89"/>
        <v>0</v>
      </c>
      <c r="F5734" s="8" t="s">
        <v>8</v>
      </c>
    </row>
    <row r="5735" spans="1:6" ht="18" customHeight="1">
      <c r="A5735" s="4" t="s">
        <v>194</v>
      </c>
      <c r="B5735" s="4" t="str">
        <f>"2020043315"</f>
        <v>2020043315</v>
      </c>
      <c r="C5735" s="5">
        <v>0</v>
      </c>
      <c r="D5735" s="6">
        <v>0</v>
      </c>
      <c r="E5735" s="7">
        <f t="shared" si="89"/>
        <v>0</v>
      </c>
      <c r="F5735" s="8" t="s">
        <v>8</v>
      </c>
    </row>
    <row r="5736" spans="1:6" ht="18" customHeight="1">
      <c r="A5736" s="4" t="s">
        <v>194</v>
      </c>
      <c r="B5736" s="4" t="str">
        <f>"2020047123"</f>
        <v>2020047123</v>
      </c>
      <c r="C5736" s="5">
        <v>0</v>
      </c>
      <c r="D5736" s="6">
        <v>0</v>
      </c>
      <c r="E5736" s="7">
        <f t="shared" si="89"/>
        <v>0</v>
      </c>
      <c r="F5736" s="8" t="s">
        <v>8</v>
      </c>
    </row>
    <row r="5737" spans="1:6" ht="18" customHeight="1">
      <c r="A5737" s="4" t="s">
        <v>195</v>
      </c>
      <c r="B5737" s="4" t="str">
        <f>"2020040115"</f>
        <v>2020040115</v>
      </c>
      <c r="C5737" s="5">
        <v>69.7</v>
      </c>
      <c r="D5737" s="6">
        <v>59.5</v>
      </c>
      <c r="E5737" s="7">
        <f t="shared" si="89"/>
        <v>129.19999999999999</v>
      </c>
      <c r="F5737" s="8"/>
    </row>
    <row r="5738" spans="1:6" ht="18" customHeight="1">
      <c r="A5738" s="4" t="s">
        <v>195</v>
      </c>
      <c r="B5738" s="4" t="str">
        <f>"2020033111"</f>
        <v>2020033111</v>
      </c>
      <c r="C5738" s="5">
        <v>60.2</v>
      </c>
      <c r="D5738" s="6">
        <v>63.5</v>
      </c>
      <c r="E5738" s="7">
        <f t="shared" si="89"/>
        <v>123.7</v>
      </c>
      <c r="F5738" s="8"/>
    </row>
    <row r="5739" spans="1:6" ht="18" customHeight="1">
      <c r="A5739" s="4" t="s">
        <v>195</v>
      </c>
      <c r="B5739" s="4" t="str">
        <f>"2020041504"</f>
        <v>2020041504</v>
      </c>
      <c r="C5739" s="5">
        <v>0</v>
      </c>
      <c r="D5739" s="6">
        <v>0</v>
      </c>
      <c r="E5739" s="7">
        <f t="shared" si="89"/>
        <v>0</v>
      </c>
      <c r="F5739" s="8" t="s">
        <v>8</v>
      </c>
    </row>
    <row r="5740" spans="1:6" ht="18" customHeight="1">
      <c r="A5740" s="4" t="s">
        <v>195</v>
      </c>
      <c r="B5740" s="4" t="str">
        <f>"2020044317"</f>
        <v>2020044317</v>
      </c>
      <c r="C5740" s="5">
        <v>0</v>
      </c>
      <c r="D5740" s="6">
        <v>0</v>
      </c>
      <c r="E5740" s="7">
        <f t="shared" si="89"/>
        <v>0</v>
      </c>
      <c r="F5740" s="8" t="s">
        <v>8</v>
      </c>
    </row>
    <row r="5741" spans="1:6" ht="18" customHeight="1">
      <c r="A5741" s="4" t="s">
        <v>196</v>
      </c>
      <c r="B5741" s="4" t="str">
        <f>"2020013104"</f>
        <v>2020013104</v>
      </c>
      <c r="C5741" s="5">
        <v>75.900000000000006</v>
      </c>
      <c r="D5741" s="6">
        <v>77</v>
      </c>
      <c r="E5741" s="7">
        <f t="shared" si="89"/>
        <v>152.9</v>
      </c>
      <c r="F5741" s="8"/>
    </row>
    <row r="5742" spans="1:6" ht="18" customHeight="1">
      <c r="A5742" s="4" t="s">
        <v>196</v>
      </c>
      <c r="B5742" s="4" t="str">
        <f>"2020023123"</f>
        <v>2020023123</v>
      </c>
      <c r="C5742" s="5">
        <v>65.900000000000006</v>
      </c>
      <c r="D5742" s="6">
        <v>72</v>
      </c>
      <c r="E5742" s="7">
        <f t="shared" si="89"/>
        <v>137.9</v>
      </c>
      <c r="F5742" s="8"/>
    </row>
    <row r="5743" spans="1:6" ht="18" customHeight="1">
      <c r="A5743" s="4" t="s">
        <v>196</v>
      </c>
      <c r="B5743" s="4" t="str">
        <f>"2020045017"</f>
        <v>2020045017</v>
      </c>
      <c r="C5743" s="5">
        <v>66.099999999999994</v>
      </c>
      <c r="D5743" s="6">
        <v>68.5</v>
      </c>
      <c r="E5743" s="7">
        <f t="shared" si="89"/>
        <v>134.6</v>
      </c>
      <c r="F5743" s="8"/>
    </row>
    <row r="5744" spans="1:6" ht="18" customHeight="1">
      <c r="A5744" s="4" t="s">
        <v>197</v>
      </c>
      <c r="B5744" s="4" t="str">
        <f>"2020022824"</f>
        <v>2020022824</v>
      </c>
      <c r="C5744" s="5">
        <v>74</v>
      </c>
      <c r="D5744" s="6">
        <v>71.5</v>
      </c>
      <c r="E5744" s="7">
        <f t="shared" si="89"/>
        <v>145.5</v>
      </c>
      <c r="F5744" s="8"/>
    </row>
    <row r="5745" spans="1:6" ht="18" customHeight="1">
      <c r="A5745" s="4" t="s">
        <v>197</v>
      </c>
      <c r="B5745" s="4" t="str">
        <f>"2020021202"</f>
        <v>2020021202</v>
      </c>
      <c r="C5745" s="5">
        <v>68.2</v>
      </c>
      <c r="D5745" s="6">
        <v>67.5</v>
      </c>
      <c r="E5745" s="7">
        <f t="shared" si="89"/>
        <v>135.69999999999999</v>
      </c>
      <c r="F5745" s="8"/>
    </row>
    <row r="5746" spans="1:6" ht="18" customHeight="1">
      <c r="A5746" s="4" t="s">
        <v>197</v>
      </c>
      <c r="B5746" s="4" t="str">
        <f>"2020045007"</f>
        <v>2020045007</v>
      </c>
      <c r="C5746" s="5">
        <v>65.400000000000006</v>
      </c>
      <c r="D5746" s="6">
        <v>69.5</v>
      </c>
      <c r="E5746" s="7">
        <f t="shared" si="89"/>
        <v>134.9</v>
      </c>
      <c r="F5746" s="8"/>
    </row>
    <row r="5747" spans="1:6" ht="18" customHeight="1">
      <c r="A5747" s="4" t="s">
        <v>197</v>
      </c>
      <c r="B5747" s="4" t="str">
        <f>"2020047407"</f>
        <v>2020047407</v>
      </c>
      <c r="C5747" s="5">
        <v>69.3</v>
      </c>
      <c r="D5747" s="6">
        <v>54</v>
      </c>
      <c r="E5747" s="7">
        <f t="shared" si="89"/>
        <v>123.3</v>
      </c>
      <c r="F5747" s="8"/>
    </row>
    <row r="5748" spans="1:6" ht="18" customHeight="1">
      <c r="A5748" s="4" t="s">
        <v>197</v>
      </c>
      <c r="B5748" s="4" t="str">
        <f>"2020013504"</f>
        <v>2020013504</v>
      </c>
      <c r="C5748" s="5">
        <v>66.400000000000006</v>
      </c>
      <c r="D5748" s="6">
        <v>52</v>
      </c>
      <c r="E5748" s="7">
        <f t="shared" si="89"/>
        <v>118.4</v>
      </c>
      <c r="F5748" s="8"/>
    </row>
    <row r="5749" spans="1:6" ht="18" customHeight="1">
      <c r="A5749" s="4" t="s">
        <v>197</v>
      </c>
      <c r="B5749" s="4" t="str">
        <f>"2020013317"</f>
        <v>2020013317</v>
      </c>
      <c r="C5749" s="5">
        <v>59.1</v>
      </c>
      <c r="D5749" s="6">
        <v>41</v>
      </c>
      <c r="E5749" s="7">
        <f t="shared" si="89"/>
        <v>100.1</v>
      </c>
      <c r="F5749" s="8"/>
    </row>
    <row r="5750" spans="1:6" ht="18" customHeight="1">
      <c r="A5750" s="4" t="s">
        <v>197</v>
      </c>
      <c r="B5750" s="4" t="str">
        <f>"2020030829"</f>
        <v>2020030829</v>
      </c>
      <c r="C5750" s="5">
        <v>0</v>
      </c>
      <c r="D5750" s="6">
        <v>9</v>
      </c>
      <c r="E5750" s="7">
        <f t="shared" si="89"/>
        <v>9</v>
      </c>
      <c r="F5750" s="8" t="s">
        <v>10</v>
      </c>
    </row>
    <row r="5751" spans="1:6" ht="18" customHeight="1">
      <c r="A5751" s="4" t="s">
        <v>197</v>
      </c>
      <c r="B5751" s="4" t="str">
        <f>"2020024607"</f>
        <v>2020024607</v>
      </c>
      <c r="C5751" s="5">
        <v>0</v>
      </c>
      <c r="D5751" s="6">
        <v>0</v>
      </c>
      <c r="E5751" s="7">
        <f t="shared" si="89"/>
        <v>0</v>
      </c>
      <c r="F5751" s="8" t="s">
        <v>8</v>
      </c>
    </row>
    <row r="5752" spans="1:6" ht="18" customHeight="1">
      <c r="A5752" s="4" t="s">
        <v>198</v>
      </c>
      <c r="B5752" s="4" t="str">
        <f>"2020023004"</f>
        <v>2020023004</v>
      </c>
      <c r="C5752" s="5">
        <v>71</v>
      </c>
      <c r="D5752" s="6">
        <v>75</v>
      </c>
      <c r="E5752" s="7">
        <f t="shared" si="89"/>
        <v>146</v>
      </c>
      <c r="F5752" s="8"/>
    </row>
    <row r="5753" spans="1:6" ht="18" customHeight="1">
      <c r="A5753" s="4" t="s">
        <v>198</v>
      </c>
      <c r="B5753" s="4" t="str">
        <f>"2020012418"</f>
        <v>2020012418</v>
      </c>
      <c r="C5753" s="5">
        <v>68.900000000000006</v>
      </c>
      <c r="D5753" s="6">
        <v>72.5</v>
      </c>
      <c r="E5753" s="7">
        <f t="shared" si="89"/>
        <v>141.4</v>
      </c>
      <c r="F5753" s="8"/>
    </row>
    <row r="5754" spans="1:6" ht="18" customHeight="1">
      <c r="A5754" s="4" t="s">
        <v>198</v>
      </c>
      <c r="B5754" s="4" t="str">
        <f>"2020032917"</f>
        <v>2020032917</v>
      </c>
      <c r="C5754" s="5">
        <v>65.599999999999994</v>
      </c>
      <c r="D5754" s="6">
        <v>55.5</v>
      </c>
      <c r="E5754" s="7">
        <f t="shared" si="89"/>
        <v>121.1</v>
      </c>
      <c r="F5754" s="8"/>
    </row>
    <row r="5755" spans="1:6" ht="18" customHeight="1">
      <c r="A5755" s="4" t="s">
        <v>198</v>
      </c>
      <c r="B5755" s="4" t="str">
        <f>"2020021409"</f>
        <v>2020021409</v>
      </c>
      <c r="C5755" s="5">
        <v>0</v>
      </c>
      <c r="D5755" s="6">
        <v>0</v>
      </c>
      <c r="E5755" s="7">
        <f t="shared" si="89"/>
        <v>0</v>
      </c>
      <c r="F5755" s="8" t="s">
        <v>8</v>
      </c>
    </row>
    <row r="5756" spans="1:6" ht="18" customHeight="1">
      <c r="A5756" s="4" t="s">
        <v>198</v>
      </c>
      <c r="B5756" s="4" t="str">
        <f>"2020043430"</f>
        <v>2020043430</v>
      </c>
      <c r="C5756" s="5">
        <v>0</v>
      </c>
      <c r="D5756" s="6">
        <v>0</v>
      </c>
      <c r="E5756" s="7">
        <f t="shared" si="89"/>
        <v>0</v>
      </c>
      <c r="F5756" s="8" t="s">
        <v>8</v>
      </c>
    </row>
    <row r="5757" spans="1:6" ht="18" customHeight="1">
      <c r="A5757" s="4" t="s">
        <v>199</v>
      </c>
      <c r="B5757" s="4" t="str">
        <f>"2020024526"</f>
        <v>2020024526</v>
      </c>
      <c r="C5757" s="5">
        <v>72.900000000000006</v>
      </c>
      <c r="D5757" s="6">
        <v>81</v>
      </c>
      <c r="E5757" s="7">
        <f t="shared" si="89"/>
        <v>153.9</v>
      </c>
      <c r="F5757" s="8"/>
    </row>
    <row r="5758" spans="1:6" ht="18" customHeight="1">
      <c r="A5758" s="4" t="s">
        <v>199</v>
      </c>
      <c r="B5758" s="4" t="str">
        <f>"2020046226"</f>
        <v>2020046226</v>
      </c>
      <c r="C5758" s="5">
        <v>73.8</v>
      </c>
      <c r="D5758" s="6">
        <v>74</v>
      </c>
      <c r="E5758" s="7">
        <f t="shared" si="89"/>
        <v>147.80000000000001</v>
      </c>
      <c r="F5758" s="8"/>
    </row>
    <row r="5759" spans="1:6" ht="18" customHeight="1">
      <c r="A5759" s="4" t="s">
        <v>199</v>
      </c>
      <c r="B5759" s="4" t="str">
        <f>"2020030922"</f>
        <v>2020030922</v>
      </c>
      <c r="C5759" s="5">
        <v>72.099999999999994</v>
      </c>
      <c r="D5759" s="6">
        <v>75.5</v>
      </c>
      <c r="E5759" s="7">
        <f t="shared" si="89"/>
        <v>147.6</v>
      </c>
      <c r="F5759" s="8"/>
    </row>
    <row r="5760" spans="1:6" ht="18" customHeight="1">
      <c r="A5760" s="4" t="s">
        <v>199</v>
      </c>
      <c r="B5760" s="4" t="str">
        <f>"2020043501"</f>
        <v>2020043501</v>
      </c>
      <c r="C5760" s="5">
        <v>67.5</v>
      </c>
      <c r="D5760" s="6">
        <v>77.5</v>
      </c>
      <c r="E5760" s="7">
        <f t="shared" si="89"/>
        <v>145</v>
      </c>
      <c r="F5760" s="8"/>
    </row>
    <row r="5761" spans="1:6" ht="18" customHeight="1">
      <c r="A5761" s="4" t="s">
        <v>199</v>
      </c>
      <c r="B5761" s="4" t="str">
        <f>"2020013613"</f>
        <v>2020013613</v>
      </c>
      <c r="C5761" s="5">
        <v>66.5</v>
      </c>
      <c r="D5761" s="6">
        <v>73</v>
      </c>
      <c r="E5761" s="7">
        <f t="shared" si="89"/>
        <v>139.5</v>
      </c>
      <c r="F5761" s="8"/>
    </row>
    <row r="5762" spans="1:6" ht="18" customHeight="1">
      <c r="A5762" s="4" t="s">
        <v>199</v>
      </c>
      <c r="B5762" s="4" t="str">
        <f>"2020042823"</f>
        <v>2020042823</v>
      </c>
      <c r="C5762" s="5">
        <v>52.9</v>
      </c>
      <c r="D5762" s="6">
        <v>76</v>
      </c>
      <c r="E5762" s="7">
        <f t="shared" si="89"/>
        <v>128.9</v>
      </c>
      <c r="F5762" s="8"/>
    </row>
    <row r="5763" spans="1:6" ht="18" customHeight="1">
      <c r="A5763" s="4" t="s">
        <v>199</v>
      </c>
      <c r="B5763" s="4" t="str">
        <f>"2020047109"</f>
        <v>2020047109</v>
      </c>
      <c r="C5763" s="5">
        <v>61.3</v>
      </c>
      <c r="D5763" s="6">
        <v>66</v>
      </c>
      <c r="E5763" s="7">
        <f t="shared" ref="E5763:E5826" si="90">SUM(C5763:D5763)</f>
        <v>127.3</v>
      </c>
      <c r="F5763" s="8"/>
    </row>
    <row r="5764" spans="1:6" ht="18" customHeight="1">
      <c r="A5764" s="4" t="s">
        <v>199</v>
      </c>
      <c r="B5764" s="4" t="str">
        <f>"2020046303"</f>
        <v>2020046303</v>
      </c>
      <c r="C5764" s="5">
        <v>65.7</v>
      </c>
      <c r="D5764" s="6">
        <v>54</v>
      </c>
      <c r="E5764" s="7">
        <f t="shared" si="90"/>
        <v>119.7</v>
      </c>
      <c r="F5764" s="8"/>
    </row>
    <row r="5765" spans="1:6" ht="18" customHeight="1">
      <c r="A5765" s="4" t="s">
        <v>199</v>
      </c>
      <c r="B5765" s="4" t="str">
        <f>"2020033611"</f>
        <v>2020033611</v>
      </c>
      <c r="C5765" s="5">
        <v>61.6</v>
      </c>
      <c r="D5765" s="6">
        <v>50</v>
      </c>
      <c r="E5765" s="7">
        <f t="shared" si="90"/>
        <v>111.6</v>
      </c>
      <c r="F5765" s="8"/>
    </row>
    <row r="5766" spans="1:6" ht="18" customHeight="1">
      <c r="A5766" s="4" t="s">
        <v>199</v>
      </c>
      <c r="B5766" s="4" t="str">
        <f>"2020010311"</f>
        <v>2020010311</v>
      </c>
      <c r="C5766" s="5">
        <v>0</v>
      </c>
      <c r="D5766" s="6">
        <v>0</v>
      </c>
      <c r="E5766" s="7">
        <f t="shared" si="90"/>
        <v>0</v>
      </c>
      <c r="F5766" s="9" t="s">
        <v>8</v>
      </c>
    </row>
    <row r="5767" spans="1:6" ht="18" customHeight="1">
      <c r="A5767" s="4" t="s">
        <v>199</v>
      </c>
      <c r="B5767" s="4" t="str">
        <f>"2020012127"</f>
        <v>2020012127</v>
      </c>
      <c r="C5767" s="5">
        <v>0</v>
      </c>
      <c r="D5767" s="6">
        <v>0</v>
      </c>
      <c r="E5767" s="7">
        <f t="shared" si="90"/>
        <v>0</v>
      </c>
      <c r="F5767" s="9" t="s">
        <v>8</v>
      </c>
    </row>
    <row r="5768" spans="1:6" ht="18" customHeight="1">
      <c r="A5768" s="4" t="s">
        <v>199</v>
      </c>
      <c r="B5768" s="4" t="str">
        <f>"2020032402"</f>
        <v>2020032402</v>
      </c>
      <c r="C5768" s="5">
        <v>0</v>
      </c>
      <c r="D5768" s="6">
        <v>0</v>
      </c>
      <c r="E5768" s="7">
        <f t="shared" si="90"/>
        <v>0</v>
      </c>
      <c r="F5768" s="8" t="s">
        <v>8</v>
      </c>
    </row>
    <row r="5769" spans="1:6" ht="18" customHeight="1">
      <c r="A5769" s="4" t="s">
        <v>199</v>
      </c>
      <c r="B5769" s="4" t="str">
        <f>"2020044107"</f>
        <v>2020044107</v>
      </c>
      <c r="C5769" s="5">
        <v>0</v>
      </c>
      <c r="D5769" s="6">
        <v>0</v>
      </c>
      <c r="E5769" s="7">
        <f t="shared" si="90"/>
        <v>0</v>
      </c>
      <c r="F5769" s="8" t="s">
        <v>8</v>
      </c>
    </row>
    <row r="5770" spans="1:6" ht="18" customHeight="1">
      <c r="A5770" s="4" t="s">
        <v>199</v>
      </c>
      <c r="B5770" s="4" t="str">
        <f>"2020045002"</f>
        <v>2020045002</v>
      </c>
      <c r="C5770" s="5">
        <v>0</v>
      </c>
      <c r="D5770" s="6">
        <v>0</v>
      </c>
      <c r="E5770" s="7">
        <f t="shared" si="90"/>
        <v>0</v>
      </c>
      <c r="F5770" s="8" t="s">
        <v>8</v>
      </c>
    </row>
    <row r="5771" spans="1:6" ht="18" customHeight="1">
      <c r="A5771" s="4" t="s">
        <v>199</v>
      </c>
      <c r="B5771" s="4" t="str">
        <f>"2020046830"</f>
        <v>2020046830</v>
      </c>
      <c r="C5771" s="5">
        <v>0</v>
      </c>
      <c r="D5771" s="6">
        <v>0</v>
      </c>
      <c r="E5771" s="7">
        <f t="shared" si="90"/>
        <v>0</v>
      </c>
      <c r="F5771" s="8" t="s">
        <v>8</v>
      </c>
    </row>
    <row r="5772" spans="1:6" ht="18" customHeight="1">
      <c r="A5772" s="4" t="s">
        <v>200</v>
      </c>
      <c r="B5772" s="4" t="str">
        <f>"2020013027"</f>
        <v>2020013027</v>
      </c>
      <c r="C5772" s="5">
        <v>76.599999999999994</v>
      </c>
      <c r="D5772" s="6">
        <v>74</v>
      </c>
      <c r="E5772" s="7">
        <f t="shared" si="90"/>
        <v>150.6</v>
      </c>
      <c r="F5772" s="8"/>
    </row>
    <row r="5773" spans="1:6" ht="18" customHeight="1">
      <c r="A5773" s="4" t="s">
        <v>200</v>
      </c>
      <c r="B5773" s="4" t="str">
        <f>"2020040611"</f>
        <v>2020040611</v>
      </c>
      <c r="C5773" s="5">
        <v>73</v>
      </c>
      <c r="D5773" s="6">
        <v>76.5</v>
      </c>
      <c r="E5773" s="7">
        <f t="shared" si="90"/>
        <v>149.5</v>
      </c>
      <c r="F5773" s="8"/>
    </row>
    <row r="5774" spans="1:6" ht="18" customHeight="1">
      <c r="A5774" s="4" t="s">
        <v>200</v>
      </c>
      <c r="B5774" s="4" t="str">
        <f>"2020010102"</f>
        <v>2020010102</v>
      </c>
      <c r="C5774" s="5">
        <v>70.2</v>
      </c>
      <c r="D5774" s="6">
        <v>77.5</v>
      </c>
      <c r="E5774" s="7">
        <f t="shared" si="90"/>
        <v>147.69999999999999</v>
      </c>
      <c r="F5774" s="8"/>
    </row>
    <row r="5775" spans="1:6" ht="18" customHeight="1">
      <c r="A5775" s="4" t="s">
        <v>200</v>
      </c>
      <c r="B5775" s="4" t="str">
        <f>"2020020110"</f>
        <v>2020020110</v>
      </c>
      <c r="C5775" s="5">
        <v>67.599999999999994</v>
      </c>
      <c r="D5775" s="6">
        <v>79</v>
      </c>
      <c r="E5775" s="7">
        <f t="shared" si="90"/>
        <v>146.6</v>
      </c>
      <c r="F5775" s="8"/>
    </row>
    <row r="5776" spans="1:6" ht="18" customHeight="1">
      <c r="A5776" s="4" t="s">
        <v>200</v>
      </c>
      <c r="B5776" s="4" t="str">
        <f>"2020047530"</f>
        <v>2020047530</v>
      </c>
      <c r="C5776" s="5">
        <v>66.900000000000006</v>
      </c>
      <c r="D5776" s="6">
        <v>77</v>
      </c>
      <c r="E5776" s="7">
        <f t="shared" si="90"/>
        <v>143.9</v>
      </c>
      <c r="F5776" s="8"/>
    </row>
    <row r="5777" spans="1:6" ht="18" customHeight="1">
      <c r="A5777" s="4" t="s">
        <v>200</v>
      </c>
      <c r="B5777" s="4" t="str">
        <f>"2020032005"</f>
        <v>2020032005</v>
      </c>
      <c r="C5777" s="5">
        <v>66.3</v>
      </c>
      <c r="D5777" s="6">
        <v>75.5</v>
      </c>
      <c r="E5777" s="7">
        <f t="shared" si="90"/>
        <v>141.80000000000001</v>
      </c>
      <c r="F5777" s="8"/>
    </row>
    <row r="5778" spans="1:6" ht="18" customHeight="1">
      <c r="A5778" s="4" t="s">
        <v>200</v>
      </c>
      <c r="B5778" s="4" t="str">
        <f>"2020047025"</f>
        <v>2020047025</v>
      </c>
      <c r="C5778" s="5">
        <v>67.5</v>
      </c>
      <c r="D5778" s="6">
        <v>72.5</v>
      </c>
      <c r="E5778" s="7">
        <f t="shared" si="90"/>
        <v>140</v>
      </c>
      <c r="F5778" s="8"/>
    </row>
    <row r="5779" spans="1:6" ht="18" customHeight="1">
      <c r="A5779" s="4" t="s">
        <v>200</v>
      </c>
      <c r="B5779" s="4" t="str">
        <f>"2020021125"</f>
        <v>2020021125</v>
      </c>
      <c r="C5779" s="5">
        <v>69.8</v>
      </c>
      <c r="D5779" s="6">
        <v>68</v>
      </c>
      <c r="E5779" s="7">
        <f t="shared" si="90"/>
        <v>137.80000000000001</v>
      </c>
      <c r="F5779" s="8"/>
    </row>
    <row r="5780" spans="1:6" ht="18" customHeight="1">
      <c r="A5780" s="4" t="s">
        <v>200</v>
      </c>
      <c r="B5780" s="4" t="str">
        <f>"2020032916"</f>
        <v>2020032916</v>
      </c>
      <c r="C5780" s="5">
        <v>68.400000000000006</v>
      </c>
      <c r="D5780" s="6">
        <v>68</v>
      </c>
      <c r="E5780" s="7">
        <f t="shared" si="90"/>
        <v>136.4</v>
      </c>
      <c r="F5780" s="8"/>
    </row>
    <row r="5781" spans="1:6" ht="18" customHeight="1">
      <c r="A5781" s="4" t="s">
        <v>200</v>
      </c>
      <c r="B5781" s="4" t="str">
        <f>"2020030311"</f>
        <v>2020030311</v>
      </c>
      <c r="C5781" s="5">
        <v>64.8</v>
      </c>
      <c r="D5781" s="6">
        <v>71</v>
      </c>
      <c r="E5781" s="7">
        <f t="shared" si="90"/>
        <v>135.80000000000001</v>
      </c>
      <c r="F5781" s="8"/>
    </row>
    <row r="5782" spans="1:6" ht="18" customHeight="1">
      <c r="A5782" s="4" t="s">
        <v>200</v>
      </c>
      <c r="B5782" s="4" t="str">
        <f>"2020030929"</f>
        <v>2020030929</v>
      </c>
      <c r="C5782" s="5">
        <v>66.3</v>
      </c>
      <c r="D5782" s="6">
        <v>68</v>
      </c>
      <c r="E5782" s="7">
        <f t="shared" si="90"/>
        <v>134.30000000000001</v>
      </c>
      <c r="F5782" s="8"/>
    </row>
    <row r="5783" spans="1:6" ht="18" customHeight="1">
      <c r="A5783" s="4" t="s">
        <v>200</v>
      </c>
      <c r="B5783" s="4" t="str">
        <f>"2020032829"</f>
        <v>2020032829</v>
      </c>
      <c r="C5783" s="5">
        <v>63.8</v>
      </c>
      <c r="D5783" s="6">
        <v>69</v>
      </c>
      <c r="E5783" s="7">
        <f t="shared" si="90"/>
        <v>132.80000000000001</v>
      </c>
      <c r="F5783" s="8"/>
    </row>
    <row r="5784" spans="1:6" ht="18" customHeight="1">
      <c r="A5784" s="4" t="s">
        <v>200</v>
      </c>
      <c r="B5784" s="4" t="str">
        <f>"2020030901"</f>
        <v>2020030901</v>
      </c>
      <c r="C5784" s="5">
        <v>69</v>
      </c>
      <c r="D5784" s="6">
        <v>59.5</v>
      </c>
      <c r="E5784" s="7">
        <f t="shared" si="90"/>
        <v>128.5</v>
      </c>
      <c r="F5784" s="8"/>
    </row>
    <row r="5785" spans="1:6" ht="18" customHeight="1">
      <c r="A5785" s="4" t="s">
        <v>200</v>
      </c>
      <c r="B5785" s="4" t="str">
        <f>"2020044408"</f>
        <v>2020044408</v>
      </c>
      <c r="C5785" s="5">
        <v>61.4</v>
      </c>
      <c r="D5785" s="6">
        <v>66.5</v>
      </c>
      <c r="E5785" s="7">
        <f t="shared" si="90"/>
        <v>127.9</v>
      </c>
      <c r="F5785" s="8"/>
    </row>
    <row r="5786" spans="1:6" ht="18" customHeight="1">
      <c r="A5786" s="4" t="s">
        <v>200</v>
      </c>
      <c r="B5786" s="4" t="str">
        <f>"2020046327"</f>
        <v>2020046327</v>
      </c>
      <c r="C5786" s="5">
        <v>62.1</v>
      </c>
      <c r="D5786" s="6">
        <v>55</v>
      </c>
      <c r="E5786" s="7">
        <f t="shared" si="90"/>
        <v>117.1</v>
      </c>
      <c r="F5786" s="8"/>
    </row>
    <row r="5787" spans="1:6" ht="18" customHeight="1">
      <c r="A5787" s="4" t="s">
        <v>200</v>
      </c>
      <c r="B5787" s="4" t="str">
        <f>"2020010825"</f>
        <v>2020010825</v>
      </c>
      <c r="C5787" s="5">
        <v>0</v>
      </c>
      <c r="D5787" s="6">
        <v>0</v>
      </c>
      <c r="E5787" s="7">
        <f t="shared" si="90"/>
        <v>0</v>
      </c>
      <c r="F5787" s="9" t="s">
        <v>8</v>
      </c>
    </row>
    <row r="5788" spans="1:6" ht="18" customHeight="1">
      <c r="A5788" s="4" t="s">
        <v>200</v>
      </c>
      <c r="B5788" s="4" t="str">
        <f>"2020011706"</f>
        <v>2020011706</v>
      </c>
      <c r="C5788" s="5">
        <v>0</v>
      </c>
      <c r="D5788" s="6">
        <v>0</v>
      </c>
      <c r="E5788" s="7">
        <f t="shared" si="90"/>
        <v>0</v>
      </c>
      <c r="F5788" s="9" t="s">
        <v>8</v>
      </c>
    </row>
    <row r="5789" spans="1:6" ht="18" customHeight="1">
      <c r="A5789" s="4" t="s">
        <v>200</v>
      </c>
      <c r="B5789" s="4" t="str">
        <f>"2020012401"</f>
        <v>2020012401</v>
      </c>
      <c r="C5789" s="5">
        <v>0</v>
      </c>
      <c r="D5789" s="6">
        <v>0</v>
      </c>
      <c r="E5789" s="7">
        <f t="shared" si="90"/>
        <v>0</v>
      </c>
      <c r="F5789" s="9" t="s">
        <v>8</v>
      </c>
    </row>
    <row r="5790" spans="1:6" ht="18" customHeight="1">
      <c r="A5790" s="4" t="s">
        <v>200</v>
      </c>
      <c r="B5790" s="4" t="str">
        <f>"2020024407"</f>
        <v>2020024407</v>
      </c>
      <c r="C5790" s="5">
        <v>0</v>
      </c>
      <c r="D5790" s="6">
        <v>0</v>
      </c>
      <c r="E5790" s="7">
        <f t="shared" si="90"/>
        <v>0</v>
      </c>
      <c r="F5790" s="8" t="s">
        <v>8</v>
      </c>
    </row>
    <row r="5791" spans="1:6" ht="18" customHeight="1">
      <c r="A5791" s="4" t="s">
        <v>200</v>
      </c>
      <c r="B5791" s="4" t="str">
        <f>"2020030615"</f>
        <v>2020030615</v>
      </c>
      <c r="C5791" s="5">
        <v>0</v>
      </c>
      <c r="D5791" s="6">
        <v>0</v>
      </c>
      <c r="E5791" s="7">
        <f t="shared" si="90"/>
        <v>0</v>
      </c>
      <c r="F5791" s="8" t="s">
        <v>8</v>
      </c>
    </row>
    <row r="5792" spans="1:6" ht="18" customHeight="1">
      <c r="A5792" s="4" t="s">
        <v>200</v>
      </c>
      <c r="B5792" s="4" t="str">
        <f>"2020041815"</f>
        <v>2020041815</v>
      </c>
      <c r="C5792" s="5">
        <v>0</v>
      </c>
      <c r="D5792" s="6">
        <v>0</v>
      </c>
      <c r="E5792" s="7">
        <f t="shared" si="90"/>
        <v>0</v>
      </c>
      <c r="F5792" s="8" t="s">
        <v>8</v>
      </c>
    </row>
    <row r="5793" spans="1:6" ht="18" customHeight="1">
      <c r="A5793" s="4" t="s">
        <v>200</v>
      </c>
      <c r="B5793" s="4" t="str">
        <f>"2020044423"</f>
        <v>2020044423</v>
      </c>
      <c r="C5793" s="5">
        <v>0</v>
      </c>
      <c r="D5793" s="6">
        <v>0</v>
      </c>
      <c r="E5793" s="7">
        <f t="shared" si="90"/>
        <v>0</v>
      </c>
      <c r="F5793" s="8" t="s">
        <v>8</v>
      </c>
    </row>
    <row r="5794" spans="1:6" ht="18" customHeight="1">
      <c r="A5794" s="4" t="s">
        <v>201</v>
      </c>
      <c r="B5794" s="4" t="str">
        <f>"2020012818"</f>
        <v>2020012818</v>
      </c>
      <c r="C5794" s="5">
        <v>67.5</v>
      </c>
      <c r="D5794" s="6">
        <v>62.5</v>
      </c>
      <c r="E5794" s="7">
        <f t="shared" si="90"/>
        <v>130</v>
      </c>
      <c r="F5794" s="8"/>
    </row>
    <row r="5795" spans="1:6" ht="18" customHeight="1">
      <c r="A5795" s="4" t="s">
        <v>201</v>
      </c>
      <c r="B5795" s="4" t="str">
        <f>"2020041319"</f>
        <v>2020041319</v>
      </c>
      <c r="C5795" s="5">
        <v>68</v>
      </c>
      <c r="D5795" s="6">
        <v>59</v>
      </c>
      <c r="E5795" s="7">
        <f t="shared" si="90"/>
        <v>127</v>
      </c>
      <c r="F5795" s="8"/>
    </row>
    <row r="5796" spans="1:6" ht="18" customHeight="1">
      <c r="A5796" s="4" t="s">
        <v>201</v>
      </c>
      <c r="B5796" s="4" t="str">
        <f>"2020011823"</f>
        <v>2020011823</v>
      </c>
      <c r="C5796" s="5">
        <v>62.6</v>
      </c>
      <c r="D5796" s="6">
        <v>64</v>
      </c>
      <c r="E5796" s="7">
        <f t="shared" si="90"/>
        <v>126.6</v>
      </c>
      <c r="F5796" s="8"/>
    </row>
    <row r="5797" spans="1:6" ht="18" customHeight="1">
      <c r="A5797" s="4" t="s">
        <v>202</v>
      </c>
      <c r="B5797" s="4" t="str">
        <f>"2020033227"</f>
        <v>2020033227</v>
      </c>
      <c r="C5797" s="5">
        <v>66.8</v>
      </c>
      <c r="D5797" s="6">
        <v>71</v>
      </c>
      <c r="E5797" s="7">
        <f t="shared" si="90"/>
        <v>137.80000000000001</v>
      </c>
      <c r="F5797" s="8"/>
    </row>
    <row r="5798" spans="1:6" ht="18" customHeight="1">
      <c r="A5798" s="4" t="s">
        <v>202</v>
      </c>
      <c r="B5798" s="4" t="str">
        <f>"2020020617"</f>
        <v>2020020617</v>
      </c>
      <c r="C5798" s="5">
        <v>67.599999999999994</v>
      </c>
      <c r="D5798" s="6">
        <v>63.5</v>
      </c>
      <c r="E5798" s="7">
        <f t="shared" si="90"/>
        <v>131.1</v>
      </c>
      <c r="F5798" s="8"/>
    </row>
    <row r="5799" spans="1:6" ht="18" customHeight="1">
      <c r="A5799" s="4" t="s">
        <v>202</v>
      </c>
      <c r="B5799" s="4" t="str">
        <f>"2020022607"</f>
        <v>2020022607</v>
      </c>
      <c r="C5799" s="5">
        <v>0</v>
      </c>
      <c r="D5799" s="6">
        <v>0</v>
      </c>
      <c r="E5799" s="7">
        <f t="shared" si="90"/>
        <v>0</v>
      </c>
      <c r="F5799" s="8" t="s">
        <v>8</v>
      </c>
    </row>
    <row r="5800" spans="1:6" ht="18" customHeight="1">
      <c r="A5800" s="4" t="s">
        <v>203</v>
      </c>
      <c r="B5800" s="4" t="str">
        <f>"2020011315"</f>
        <v>2020011315</v>
      </c>
      <c r="C5800" s="5">
        <v>71.2</v>
      </c>
      <c r="D5800" s="6">
        <v>77</v>
      </c>
      <c r="E5800" s="7">
        <f t="shared" si="90"/>
        <v>148.19999999999999</v>
      </c>
      <c r="F5800" s="8"/>
    </row>
    <row r="5801" spans="1:6" ht="18" customHeight="1">
      <c r="A5801" s="4" t="s">
        <v>203</v>
      </c>
      <c r="B5801" s="4" t="str">
        <f>"2020042728"</f>
        <v>2020042728</v>
      </c>
      <c r="C5801" s="5">
        <v>74.900000000000006</v>
      </c>
      <c r="D5801" s="6">
        <v>72</v>
      </c>
      <c r="E5801" s="7">
        <f t="shared" si="90"/>
        <v>146.9</v>
      </c>
      <c r="F5801" s="8"/>
    </row>
    <row r="5802" spans="1:6" ht="18" customHeight="1">
      <c r="A5802" s="4" t="s">
        <v>203</v>
      </c>
      <c r="B5802" s="4" t="str">
        <f>"2020041023"</f>
        <v>2020041023</v>
      </c>
      <c r="C5802" s="5">
        <v>70.599999999999994</v>
      </c>
      <c r="D5802" s="6">
        <v>73</v>
      </c>
      <c r="E5802" s="7">
        <f t="shared" si="90"/>
        <v>143.6</v>
      </c>
      <c r="F5802" s="8"/>
    </row>
    <row r="5803" spans="1:6" ht="18" customHeight="1">
      <c r="A5803" s="4" t="s">
        <v>203</v>
      </c>
      <c r="B5803" s="4" t="str">
        <f>"2020022929"</f>
        <v>2020022929</v>
      </c>
      <c r="C5803" s="5">
        <v>67.900000000000006</v>
      </c>
      <c r="D5803" s="6">
        <v>75</v>
      </c>
      <c r="E5803" s="7">
        <f t="shared" si="90"/>
        <v>142.9</v>
      </c>
      <c r="F5803" s="8"/>
    </row>
    <row r="5804" spans="1:6" ht="18" customHeight="1">
      <c r="A5804" s="4" t="s">
        <v>203</v>
      </c>
      <c r="B5804" s="4" t="str">
        <f>"2020044412"</f>
        <v>2020044412</v>
      </c>
      <c r="C5804" s="5">
        <v>63.7</v>
      </c>
      <c r="D5804" s="6">
        <v>72</v>
      </c>
      <c r="E5804" s="7">
        <f t="shared" si="90"/>
        <v>135.69999999999999</v>
      </c>
      <c r="F5804" s="8"/>
    </row>
    <row r="5805" spans="1:6" ht="18" customHeight="1">
      <c r="A5805" s="4" t="s">
        <v>203</v>
      </c>
      <c r="B5805" s="4" t="str">
        <f>"2020014007"</f>
        <v>2020014007</v>
      </c>
      <c r="C5805" s="5">
        <v>71.099999999999994</v>
      </c>
      <c r="D5805" s="6">
        <v>64</v>
      </c>
      <c r="E5805" s="7">
        <f t="shared" si="90"/>
        <v>135.1</v>
      </c>
      <c r="F5805" s="8"/>
    </row>
    <row r="5806" spans="1:6" ht="18" customHeight="1">
      <c r="A5806" s="4" t="s">
        <v>203</v>
      </c>
      <c r="B5806" s="4" t="str">
        <f>"2020044420"</f>
        <v>2020044420</v>
      </c>
      <c r="C5806" s="5">
        <v>65.5</v>
      </c>
      <c r="D5806" s="6">
        <v>60.5</v>
      </c>
      <c r="E5806" s="7">
        <f t="shared" si="90"/>
        <v>126</v>
      </c>
      <c r="F5806" s="8"/>
    </row>
    <row r="5807" spans="1:6" ht="18" customHeight="1">
      <c r="A5807" s="4" t="s">
        <v>203</v>
      </c>
      <c r="B5807" s="4" t="str">
        <f>"2020033906"</f>
        <v>2020033906</v>
      </c>
      <c r="C5807" s="5">
        <v>63.2</v>
      </c>
      <c r="D5807" s="6">
        <v>62.5</v>
      </c>
      <c r="E5807" s="7">
        <f t="shared" si="90"/>
        <v>125.7</v>
      </c>
      <c r="F5807" s="8"/>
    </row>
    <row r="5808" spans="1:6" ht="18" customHeight="1">
      <c r="A5808" s="4" t="s">
        <v>203</v>
      </c>
      <c r="B5808" s="4" t="str">
        <f>"2020010111"</f>
        <v>2020010111</v>
      </c>
      <c r="C5808" s="5">
        <v>63.7</v>
      </c>
      <c r="D5808" s="6">
        <v>61.5</v>
      </c>
      <c r="E5808" s="7">
        <f t="shared" si="90"/>
        <v>125.2</v>
      </c>
      <c r="F5808" s="8"/>
    </row>
    <row r="5809" spans="1:6" ht="18" customHeight="1">
      <c r="A5809" s="4" t="s">
        <v>203</v>
      </c>
      <c r="B5809" s="4" t="str">
        <f>"2020042003"</f>
        <v>2020042003</v>
      </c>
      <c r="C5809" s="5">
        <v>63.4</v>
      </c>
      <c r="D5809" s="6">
        <v>56.5</v>
      </c>
      <c r="E5809" s="7">
        <f t="shared" si="90"/>
        <v>119.9</v>
      </c>
      <c r="F5809" s="8"/>
    </row>
    <row r="5810" spans="1:6" ht="18" customHeight="1">
      <c r="A5810" s="4" t="s">
        <v>203</v>
      </c>
      <c r="B5810" s="4" t="str">
        <f>"2020047105"</f>
        <v>2020047105</v>
      </c>
      <c r="C5810" s="5">
        <v>64.900000000000006</v>
      </c>
      <c r="D5810" s="6">
        <v>46.5</v>
      </c>
      <c r="E5810" s="7">
        <f t="shared" si="90"/>
        <v>111.4</v>
      </c>
      <c r="F5810" s="8"/>
    </row>
    <row r="5811" spans="1:6" ht="18" customHeight="1">
      <c r="A5811" s="4" t="s">
        <v>203</v>
      </c>
      <c r="B5811" s="4" t="str">
        <f>"2020046501"</f>
        <v>2020046501</v>
      </c>
      <c r="C5811" s="5">
        <v>57.2</v>
      </c>
      <c r="D5811" s="6">
        <v>50.5</v>
      </c>
      <c r="E5811" s="7">
        <f t="shared" si="90"/>
        <v>107.7</v>
      </c>
      <c r="F5811" s="8"/>
    </row>
    <row r="5812" spans="1:6" ht="18" customHeight="1">
      <c r="A5812" s="4" t="s">
        <v>203</v>
      </c>
      <c r="B5812" s="4" t="str">
        <f>"2020013327"</f>
        <v>2020013327</v>
      </c>
      <c r="C5812" s="5">
        <v>0</v>
      </c>
      <c r="D5812" s="6">
        <v>0</v>
      </c>
      <c r="E5812" s="7">
        <f t="shared" si="90"/>
        <v>0</v>
      </c>
      <c r="F5812" s="9" t="s">
        <v>8</v>
      </c>
    </row>
    <row r="5813" spans="1:6" ht="18" customHeight="1">
      <c r="A5813" s="4" t="s">
        <v>203</v>
      </c>
      <c r="B5813" s="4" t="str">
        <f>"2020046012"</f>
        <v>2020046012</v>
      </c>
      <c r="C5813" s="5">
        <v>0</v>
      </c>
      <c r="D5813" s="6">
        <v>0</v>
      </c>
      <c r="E5813" s="7">
        <f t="shared" si="90"/>
        <v>0</v>
      </c>
      <c r="F5813" s="8" t="s">
        <v>8</v>
      </c>
    </row>
    <row r="5814" spans="1:6" ht="18" customHeight="1">
      <c r="A5814" s="4" t="s">
        <v>204</v>
      </c>
      <c r="B5814" s="4" t="str">
        <f>"2020022304"</f>
        <v>2020022304</v>
      </c>
      <c r="C5814" s="5">
        <v>73.7</v>
      </c>
      <c r="D5814" s="6">
        <v>74.5</v>
      </c>
      <c r="E5814" s="7">
        <f t="shared" si="90"/>
        <v>148.19999999999999</v>
      </c>
      <c r="F5814" s="8"/>
    </row>
    <row r="5815" spans="1:6" ht="18" customHeight="1">
      <c r="A5815" s="4" t="s">
        <v>204</v>
      </c>
      <c r="B5815" s="4" t="str">
        <f>"2020040912"</f>
        <v>2020040912</v>
      </c>
      <c r="C5815" s="5">
        <v>62.7</v>
      </c>
      <c r="D5815" s="6">
        <v>76.5</v>
      </c>
      <c r="E5815" s="7">
        <f t="shared" si="90"/>
        <v>139.19999999999999</v>
      </c>
      <c r="F5815" s="8"/>
    </row>
    <row r="5816" spans="1:6" ht="18" customHeight="1">
      <c r="A5816" s="4" t="s">
        <v>204</v>
      </c>
      <c r="B5816" s="4" t="str">
        <f>"2020012423"</f>
        <v>2020012423</v>
      </c>
      <c r="C5816" s="5">
        <v>68.3</v>
      </c>
      <c r="D5816" s="6">
        <v>69</v>
      </c>
      <c r="E5816" s="7">
        <f t="shared" si="90"/>
        <v>137.30000000000001</v>
      </c>
      <c r="F5816" s="8"/>
    </row>
    <row r="5817" spans="1:6" ht="18" customHeight="1">
      <c r="A5817" s="4" t="s">
        <v>204</v>
      </c>
      <c r="B5817" s="4" t="str">
        <f>"2020022517"</f>
        <v>2020022517</v>
      </c>
      <c r="C5817" s="5">
        <v>70.7</v>
      </c>
      <c r="D5817" s="6">
        <v>66.5</v>
      </c>
      <c r="E5817" s="7">
        <f t="shared" si="90"/>
        <v>137.19999999999999</v>
      </c>
      <c r="F5817" s="8"/>
    </row>
    <row r="5818" spans="1:6" ht="18" customHeight="1">
      <c r="A5818" s="4" t="s">
        <v>204</v>
      </c>
      <c r="B5818" s="4" t="str">
        <f>"2020044114"</f>
        <v>2020044114</v>
      </c>
      <c r="C5818" s="5">
        <v>63.7</v>
      </c>
      <c r="D5818" s="6">
        <v>73</v>
      </c>
      <c r="E5818" s="7">
        <f t="shared" si="90"/>
        <v>136.69999999999999</v>
      </c>
      <c r="F5818" s="8"/>
    </row>
    <row r="5819" spans="1:6" ht="18" customHeight="1">
      <c r="A5819" s="4" t="s">
        <v>204</v>
      </c>
      <c r="B5819" s="4" t="str">
        <f>"2020032525"</f>
        <v>2020032525</v>
      </c>
      <c r="C5819" s="5">
        <v>64.7</v>
      </c>
      <c r="D5819" s="6">
        <v>71.5</v>
      </c>
      <c r="E5819" s="7">
        <f t="shared" si="90"/>
        <v>136.19999999999999</v>
      </c>
      <c r="F5819" s="8"/>
    </row>
    <row r="5820" spans="1:6" ht="18" customHeight="1">
      <c r="A5820" s="4" t="s">
        <v>204</v>
      </c>
      <c r="B5820" s="4" t="str">
        <f>"2020046604"</f>
        <v>2020046604</v>
      </c>
      <c r="C5820" s="5">
        <v>61.9</v>
      </c>
      <c r="D5820" s="6">
        <v>72.5</v>
      </c>
      <c r="E5820" s="7">
        <f t="shared" si="90"/>
        <v>134.4</v>
      </c>
      <c r="F5820" s="8"/>
    </row>
    <row r="5821" spans="1:6" ht="18" customHeight="1">
      <c r="A5821" s="4" t="s">
        <v>204</v>
      </c>
      <c r="B5821" s="4" t="str">
        <f>"2020023618"</f>
        <v>2020023618</v>
      </c>
      <c r="C5821" s="5">
        <v>68.3</v>
      </c>
      <c r="D5821" s="6">
        <v>65.5</v>
      </c>
      <c r="E5821" s="7">
        <f t="shared" si="90"/>
        <v>133.80000000000001</v>
      </c>
      <c r="F5821" s="8"/>
    </row>
    <row r="5822" spans="1:6" ht="18" customHeight="1">
      <c r="A5822" s="4" t="s">
        <v>204</v>
      </c>
      <c r="B5822" s="4" t="str">
        <f>"2020031217"</f>
        <v>2020031217</v>
      </c>
      <c r="C5822" s="5">
        <v>62.1</v>
      </c>
      <c r="D5822" s="6">
        <v>71.5</v>
      </c>
      <c r="E5822" s="7">
        <f t="shared" si="90"/>
        <v>133.6</v>
      </c>
      <c r="F5822" s="8"/>
    </row>
    <row r="5823" spans="1:6" ht="18" customHeight="1">
      <c r="A5823" s="4" t="s">
        <v>204</v>
      </c>
      <c r="B5823" s="4" t="str">
        <f>"2020030602"</f>
        <v>2020030602</v>
      </c>
      <c r="C5823" s="5">
        <v>71.599999999999994</v>
      </c>
      <c r="D5823" s="6">
        <v>61.5</v>
      </c>
      <c r="E5823" s="7">
        <f t="shared" si="90"/>
        <v>133.1</v>
      </c>
      <c r="F5823" s="8"/>
    </row>
    <row r="5824" spans="1:6" ht="18" customHeight="1">
      <c r="A5824" s="4" t="s">
        <v>204</v>
      </c>
      <c r="B5824" s="4" t="str">
        <f>"2020024710"</f>
        <v>2020024710</v>
      </c>
      <c r="C5824" s="5">
        <v>62.6</v>
      </c>
      <c r="D5824" s="6">
        <v>70.5</v>
      </c>
      <c r="E5824" s="7">
        <f t="shared" si="90"/>
        <v>133.1</v>
      </c>
      <c r="F5824" s="8"/>
    </row>
    <row r="5825" spans="1:6" ht="18" customHeight="1">
      <c r="A5825" s="4" t="s">
        <v>204</v>
      </c>
      <c r="B5825" s="4" t="str">
        <f>"2020023614"</f>
        <v>2020023614</v>
      </c>
      <c r="C5825" s="5">
        <v>64.5</v>
      </c>
      <c r="D5825" s="6">
        <v>68.5</v>
      </c>
      <c r="E5825" s="7">
        <f t="shared" si="90"/>
        <v>133</v>
      </c>
      <c r="F5825" s="8"/>
    </row>
    <row r="5826" spans="1:6" ht="18" customHeight="1">
      <c r="A5826" s="4" t="s">
        <v>204</v>
      </c>
      <c r="B5826" s="4" t="str">
        <f>"2020042824"</f>
        <v>2020042824</v>
      </c>
      <c r="C5826" s="5">
        <v>60.6</v>
      </c>
      <c r="D5826" s="6">
        <v>70.5</v>
      </c>
      <c r="E5826" s="7">
        <f t="shared" si="90"/>
        <v>131.1</v>
      </c>
      <c r="F5826" s="8"/>
    </row>
    <row r="5827" spans="1:6" ht="18" customHeight="1">
      <c r="A5827" s="4" t="s">
        <v>204</v>
      </c>
      <c r="B5827" s="4" t="str">
        <f>"2020044329"</f>
        <v>2020044329</v>
      </c>
      <c r="C5827" s="5">
        <v>58.9</v>
      </c>
      <c r="D5827" s="6">
        <v>72</v>
      </c>
      <c r="E5827" s="7">
        <f t="shared" ref="E5827:E5890" si="91">SUM(C5827:D5827)</f>
        <v>130.9</v>
      </c>
      <c r="F5827" s="8"/>
    </row>
    <row r="5828" spans="1:6" ht="18" customHeight="1">
      <c r="A5828" s="4" t="s">
        <v>204</v>
      </c>
      <c r="B5828" s="4" t="str">
        <f>"2020021522"</f>
        <v>2020021522</v>
      </c>
      <c r="C5828" s="5">
        <v>59.3</v>
      </c>
      <c r="D5828" s="6">
        <v>70</v>
      </c>
      <c r="E5828" s="7">
        <f t="shared" si="91"/>
        <v>129.30000000000001</v>
      </c>
      <c r="F5828" s="8"/>
    </row>
    <row r="5829" spans="1:6" ht="18" customHeight="1">
      <c r="A5829" s="4" t="s">
        <v>204</v>
      </c>
      <c r="B5829" s="4" t="str">
        <f>"2020024515"</f>
        <v>2020024515</v>
      </c>
      <c r="C5829" s="5">
        <v>64.2</v>
      </c>
      <c r="D5829" s="6">
        <v>64.5</v>
      </c>
      <c r="E5829" s="7">
        <f t="shared" si="91"/>
        <v>128.69999999999999</v>
      </c>
      <c r="F5829" s="8"/>
    </row>
    <row r="5830" spans="1:6" ht="18" customHeight="1">
      <c r="A5830" s="4" t="s">
        <v>204</v>
      </c>
      <c r="B5830" s="4" t="str">
        <f>"2020041502"</f>
        <v>2020041502</v>
      </c>
      <c r="C5830" s="5">
        <v>66.3</v>
      </c>
      <c r="D5830" s="6">
        <v>62</v>
      </c>
      <c r="E5830" s="7">
        <f t="shared" si="91"/>
        <v>128.30000000000001</v>
      </c>
      <c r="F5830" s="8"/>
    </row>
    <row r="5831" spans="1:6" ht="18" customHeight="1">
      <c r="A5831" s="4" t="s">
        <v>204</v>
      </c>
      <c r="B5831" s="4" t="str">
        <f>"2020033427"</f>
        <v>2020033427</v>
      </c>
      <c r="C5831" s="5">
        <v>62.3</v>
      </c>
      <c r="D5831" s="6">
        <v>65.5</v>
      </c>
      <c r="E5831" s="7">
        <f t="shared" si="91"/>
        <v>127.8</v>
      </c>
      <c r="F5831" s="8"/>
    </row>
    <row r="5832" spans="1:6" ht="18" customHeight="1">
      <c r="A5832" s="4" t="s">
        <v>204</v>
      </c>
      <c r="B5832" s="4" t="str">
        <f>"2020024113"</f>
        <v>2020024113</v>
      </c>
      <c r="C5832" s="5">
        <v>61.4</v>
      </c>
      <c r="D5832" s="6">
        <v>63.5</v>
      </c>
      <c r="E5832" s="7">
        <f t="shared" si="91"/>
        <v>124.9</v>
      </c>
      <c r="F5832" s="8"/>
    </row>
    <row r="5833" spans="1:6" ht="18" customHeight="1">
      <c r="A5833" s="4" t="s">
        <v>204</v>
      </c>
      <c r="B5833" s="4" t="str">
        <f>"2020021019"</f>
        <v>2020021019</v>
      </c>
      <c r="C5833" s="5">
        <v>59.4</v>
      </c>
      <c r="D5833" s="6">
        <v>61.5</v>
      </c>
      <c r="E5833" s="7">
        <f t="shared" si="91"/>
        <v>120.9</v>
      </c>
      <c r="F5833" s="8"/>
    </row>
    <row r="5834" spans="1:6" ht="18" customHeight="1">
      <c r="A5834" s="4" t="s">
        <v>204</v>
      </c>
      <c r="B5834" s="4" t="str">
        <f>"2020041215"</f>
        <v>2020041215</v>
      </c>
      <c r="C5834" s="5">
        <v>62.1</v>
      </c>
      <c r="D5834" s="6">
        <v>58.5</v>
      </c>
      <c r="E5834" s="7">
        <f t="shared" si="91"/>
        <v>120.6</v>
      </c>
      <c r="F5834" s="8"/>
    </row>
    <row r="5835" spans="1:6" ht="18" customHeight="1">
      <c r="A5835" s="4" t="s">
        <v>204</v>
      </c>
      <c r="B5835" s="4" t="str">
        <f>"2020023112"</f>
        <v>2020023112</v>
      </c>
      <c r="C5835" s="5">
        <v>65.7</v>
      </c>
      <c r="D5835" s="6">
        <v>54.5</v>
      </c>
      <c r="E5835" s="7">
        <f t="shared" si="91"/>
        <v>120.2</v>
      </c>
      <c r="F5835" s="8"/>
    </row>
    <row r="5836" spans="1:6" ht="18" customHeight="1">
      <c r="A5836" s="4" t="s">
        <v>204</v>
      </c>
      <c r="B5836" s="4" t="str">
        <f>"2020023508"</f>
        <v>2020023508</v>
      </c>
      <c r="C5836" s="5">
        <v>63.7</v>
      </c>
      <c r="D5836" s="6">
        <v>56.5</v>
      </c>
      <c r="E5836" s="7">
        <f t="shared" si="91"/>
        <v>120.2</v>
      </c>
      <c r="F5836" s="8"/>
    </row>
    <row r="5837" spans="1:6" ht="18" customHeight="1">
      <c r="A5837" s="4" t="s">
        <v>204</v>
      </c>
      <c r="B5837" s="4" t="str">
        <f>"2020024618"</f>
        <v>2020024618</v>
      </c>
      <c r="C5837" s="5">
        <v>55.9</v>
      </c>
      <c r="D5837" s="6">
        <v>64</v>
      </c>
      <c r="E5837" s="7">
        <f t="shared" si="91"/>
        <v>119.9</v>
      </c>
      <c r="F5837" s="8"/>
    </row>
    <row r="5838" spans="1:6" ht="18" customHeight="1">
      <c r="A5838" s="4" t="s">
        <v>204</v>
      </c>
      <c r="B5838" s="4" t="str">
        <f>"2020023006"</f>
        <v>2020023006</v>
      </c>
      <c r="C5838" s="5">
        <v>64.900000000000006</v>
      </c>
      <c r="D5838" s="6">
        <v>52</v>
      </c>
      <c r="E5838" s="7">
        <f t="shared" si="91"/>
        <v>116.9</v>
      </c>
      <c r="F5838" s="8"/>
    </row>
    <row r="5839" spans="1:6" ht="18" customHeight="1">
      <c r="A5839" s="4" t="s">
        <v>204</v>
      </c>
      <c r="B5839" s="4" t="str">
        <f>"2020020228"</f>
        <v>2020020228</v>
      </c>
      <c r="C5839" s="5">
        <v>60.6</v>
      </c>
      <c r="D5839" s="6">
        <v>56</v>
      </c>
      <c r="E5839" s="7">
        <f t="shared" si="91"/>
        <v>116.6</v>
      </c>
      <c r="F5839" s="8"/>
    </row>
    <row r="5840" spans="1:6" ht="18" customHeight="1">
      <c r="A5840" s="4" t="s">
        <v>204</v>
      </c>
      <c r="B5840" s="4" t="str">
        <f>"2020031720"</f>
        <v>2020031720</v>
      </c>
      <c r="C5840" s="5">
        <v>63</v>
      </c>
      <c r="D5840" s="6">
        <v>53.5</v>
      </c>
      <c r="E5840" s="7">
        <f t="shared" si="91"/>
        <v>116.5</v>
      </c>
      <c r="F5840" s="8"/>
    </row>
    <row r="5841" spans="1:6" ht="18" customHeight="1">
      <c r="A5841" s="4" t="s">
        <v>204</v>
      </c>
      <c r="B5841" s="4" t="str">
        <f>"2020024511"</f>
        <v>2020024511</v>
      </c>
      <c r="C5841" s="5">
        <v>61.3</v>
      </c>
      <c r="D5841" s="6">
        <v>55</v>
      </c>
      <c r="E5841" s="7">
        <f t="shared" si="91"/>
        <v>116.3</v>
      </c>
      <c r="F5841" s="8"/>
    </row>
    <row r="5842" spans="1:6" ht="18" customHeight="1">
      <c r="A5842" s="4" t="s">
        <v>204</v>
      </c>
      <c r="B5842" s="4" t="str">
        <f>"2020013127"</f>
        <v>2020013127</v>
      </c>
      <c r="C5842" s="5">
        <v>62.1</v>
      </c>
      <c r="D5842" s="6">
        <v>54</v>
      </c>
      <c r="E5842" s="7">
        <f t="shared" si="91"/>
        <v>116.1</v>
      </c>
      <c r="F5842" s="8"/>
    </row>
    <row r="5843" spans="1:6" ht="18" customHeight="1">
      <c r="A5843" s="4" t="s">
        <v>204</v>
      </c>
      <c r="B5843" s="4" t="str">
        <f>"2020040404"</f>
        <v>2020040404</v>
      </c>
      <c r="C5843" s="5">
        <v>63.8</v>
      </c>
      <c r="D5843" s="6">
        <v>52</v>
      </c>
      <c r="E5843" s="7">
        <f t="shared" si="91"/>
        <v>115.8</v>
      </c>
      <c r="F5843" s="8"/>
    </row>
    <row r="5844" spans="1:6" ht="18" customHeight="1">
      <c r="A5844" s="4" t="s">
        <v>204</v>
      </c>
      <c r="B5844" s="4" t="str">
        <f>"2020032213"</f>
        <v>2020032213</v>
      </c>
      <c r="C5844" s="5">
        <v>60.4</v>
      </c>
      <c r="D5844" s="6">
        <v>52.5</v>
      </c>
      <c r="E5844" s="7">
        <f t="shared" si="91"/>
        <v>112.9</v>
      </c>
      <c r="F5844" s="8"/>
    </row>
    <row r="5845" spans="1:6" ht="18" customHeight="1">
      <c r="A5845" s="4" t="s">
        <v>204</v>
      </c>
      <c r="B5845" s="4" t="str">
        <f>"2020013213"</f>
        <v>2020013213</v>
      </c>
      <c r="C5845" s="5">
        <v>61.6</v>
      </c>
      <c r="D5845" s="6">
        <v>51</v>
      </c>
      <c r="E5845" s="7">
        <f t="shared" si="91"/>
        <v>112.6</v>
      </c>
      <c r="F5845" s="8"/>
    </row>
    <row r="5846" spans="1:6" ht="18" customHeight="1">
      <c r="A5846" s="4" t="s">
        <v>204</v>
      </c>
      <c r="B5846" s="4" t="str">
        <f>"2020010706"</f>
        <v>2020010706</v>
      </c>
      <c r="C5846" s="5">
        <v>66.5</v>
      </c>
      <c r="D5846" s="6">
        <v>44</v>
      </c>
      <c r="E5846" s="7">
        <f t="shared" si="91"/>
        <v>110.5</v>
      </c>
      <c r="F5846" s="8"/>
    </row>
    <row r="5847" spans="1:6" ht="18" customHeight="1">
      <c r="A5847" s="4" t="s">
        <v>204</v>
      </c>
      <c r="B5847" s="4" t="str">
        <f>"2020033519"</f>
        <v>2020033519</v>
      </c>
      <c r="C5847" s="5">
        <v>58</v>
      </c>
      <c r="D5847" s="6">
        <v>52</v>
      </c>
      <c r="E5847" s="7">
        <f t="shared" si="91"/>
        <v>110</v>
      </c>
      <c r="F5847" s="8"/>
    </row>
    <row r="5848" spans="1:6" ht="18" customHeight="1">
      <c r="A5848" s="4" t="s">
        <v>204</v>
      </c>
      <c r="B5848" s="4" t="str">
        <f>"2020043502"</f>
        <v>2020043502</v>
      </c>
      <c r="C5848" s="5">
        <v>61.3</v>
      </c>
      <c r="D5848" s="6">
        <v>47</v>
      </c>
      <c r="E5848" s="7">
        <f t="shared" si="91"/>
        <v>108.3</v>
      </c>
      <c r="F5848" s="8"/>
    </row>
    <row r="5849" spans="1:6" ht="18" customHeight="1">
      <c r="A5849" s="4" t="s">
        <v>204</v>
      </c>
      <c r="B5849" s="4" t="str">
        <f>"2020011923"</f>
        <v>2020011923</v>
      </c>
      <c r="C5849" s="5">
        <v>52.8</v>
      </c>
      <c r="D5849" s="6">
        <v>55.5</v>
      </c>
      <c r="E5849" s="7">
        <f t="shared" si="91"/>
        <v>108.3</v>
      </c>
      <c r="F5849" s="8"/>
    </row>
    <row r="5850" spans="1:6" ht="18" customHeight="1">
      <c r="A5850" s="4" t="s">
        <v>204</v>
      </c>
      <c r="B5850" s="4" t="str">
        <f>"2020045808"</f>
        <v>2020045808</v>
      </c>
      <c r="C5850" s="5">
        <v>55.7</v>
      </c>
      <c r="D5850" s="6">
        <v>52.5</v>
      </c>
      <c r="E5850" s="7">
        <f t="shared" si="91"/>
        <v>108.2</v>
      </c>
      <c r="F5850" s="8"/>
    </row>
    <row r="5851" spans="1:6" ht="18" customHeight="1">
      <c r="A5851" s="4" t="s">
        <v>204</v>
      </c>
      <c r="B5851" s="4" t="str">
        <f>"2020045717"</f>
        <v>2020045717</v>
      </c>
      <c r="C5851" s="5">
        <v>50.2</v>
      </c>
      <c r="D5851" s="6">
        <v>57.5</v>
      </c>
      <c r="E5851" s="7">
        <f t="shared" si="91"/>
        <v>107.7</v>
      </c>
      <c r="F5851" s="8"/>
    </row>
    <row r="5852" spans="1:6" ht="18" customHeight="1">
      <c r="A5852" s="4" t="s">
        <v>204</v>
      </c>
      <c r="B5852" s="4" t="str">
        <f>"2020023418"</f>
        <v>2020023418</v>
      </c>
      <c r="C5852" s="5">
        <v>63.6</v>
      </c>
      <c r="D5852" s="6">
        <v>44</v>
      </c>
      <c r="E5852" s="7">
        <f t="shared" si="91"/>
        <v>107.6</v>
      </c>
      <c r="F5852" s="8"/>
    </row>
    <row r="5853" spans="1:6" ht="18" customHeight="1">
      <c r="A5853" s="4" t="s">
        <v>204</v>
      </c>
      <c r="B5853" s="4" t="str">
        <f>"2020013226"</f>
        <v>2020013226</v>
      </c>
      <c r="C5853" s="5">
        <v>49.2</v>
      </c>
      <c r="D5853" s="6">
        <v>58</v>
      </c>
      <c r="E5853" s="7">
        <f t="shared" si="91"/>
        <v>107.2</v>
      </c>
      <c r="F5853" s="8"/>
    </row>
    <row r="5854" spans="1:6" ht="18" customHeight="1">
      <c r="A5854" s="4" t="s">
        <v>204</v>
      </c>
      <c r="B5854" s="4" t="str">
        <f>"2020030413"</f>
        <v>2020030413</v>
      </c>
      <c r="C5854" s="5">
        <v>57.5</v>
      </c>
      <c r="D5854" s="6">
        <v>49</v>
      </c>
      <c r="E5854" s="7">
        <f t="shared" si="91"/>
        <v>106.5</v>
      </c>
      <c r="F5854" s="8"/>
    </row>
    <row r="5855" spans="1:6" ht="18" customHeight="1">
      <c r="A5855" s="4" t="s">
        <v>204</v>
      </c>
      <c r="B5855" s="4" t="str">
        <f>"2020022030"</f>
        <v>2020022030</v>
      </c>
      <c r="C5855" s="5">
        <v>57.7</v>
      </c>
      <c r="D5855" s="6">
        <v>48.5</v>
      </c>
      <c r="E5855" s="7">
        <f t="shared" si="91"/>
        <v>106.2</v>
      </c>
      <c r="F5855" s="8"/>
    </row>
    <row r="5856" spans="1:6" ht="18" customHeight="1">
      <c r="A5856" s="4" t="s">
        <v>204</v>
      </c>
      <c r="B5856" s="4" t="str">
        <f>"2020042706"</f>
        <v>2020042706</v>
      </c>
      <c r="C5856" s="5">
        <v>58.8</v>
      </c>
      <c r="D5856" s="6">
        <v>47</v>
      </c>
      <c r="E5856" s="7">
        <f t="shared" si="91"/>
        <v>105.8</v>
      </c>
      <c r="F5856" s="8"/>
    </row>
    <row r="5857" spans="1:6" ht="18" customHeight="1">
      <c r="A5857" s="4" t="s">
        <v>204</v>
      </c>
      <c r="B5857" s="4" t="str">
        <f>"2020045028"</f>
        <v>2020045028</v>
      </c>
      <c r="C5857" s="5">
        <v>55.5</v>
      </c>
      <c r="D5857" s="6">
        <v>50</v>
      </c>
      <c r="E5857" s="7">
        <f t="shared" si="91"/>
        <v>105.5</v>
      </c>
      <c r="F5857" s="8"/>
    </row>
    <row r="5858" spans="1:6" ht="18" customHeight="1">
      <c r="A5858" s="4" t="s">
        <v>204</v>
      </c>
      <c r="B5858" s="4" t="str">
        <f>"2020011817"</f>
        <v>2020011817</v>
      </c>
      <c r="C5858" s="5">
        <v>59.1</v>
      </c>
      <c r="D5858" s="6">
        <v>45.5</v>
      </c>
      <c r="E5858" s="7">
        <f t="shared" si="91"/>
        <v>104.6</v>
      </c>
      <c r="F5858" s="8"/>
    </row>
    <row r="5859" spans="1:6" ht="18" customHeight="1">
      <c r="A5859" s="4" t="s">
        <v>204</v>
      </c>
      <c r="B5859" s="4" t="str">
        <f>"2020045612"</f>
        <v>2020045612</v>
      </c>
      <c r="C5859" s="5">
        <v>48.4</v>
      </c>
      <c r="D5859" s="6">
        <v>56</v>
      </c>
      <c r="E5859" s="7">
        <f t="shared" si="91"/>
        <v>104.4</v>
      </c>
      <c r="F5859" s="8"/>
    </row>
    <row r="5860" spans="1:6" ht="18" customHeight="1">
      <c r="A5860" s="4" t="s">
        <v>204</v>
      </c>
      <c r="B5860" s="4" t="str">
        <f>"2020045129"</f>
        <v>2020045129</v>
      </c>
      <c r="C5860" s="5">
        <v>54.5</v>
      </c>
      <c r="D5860" s="6">
        <v>49</v>
      </c>
      <c r="E5860" s="7">
        <f t="shared" si="91"/>
        <v>103.5</v>
      </c>
      <c r="F5860" s="8"/>
    </row>
    <row r="5861" spans="1:6" ht="18" customHeight="1">
      <c r="A5861" s="4" t="s">
        <v>204</v>
      </c>
      <c r="B5861" s="4" t="str">
        <f>"2020032202"</f>
        <v>2020032202</v>
      </c>
      <c r="C5861" s="5">
        <v>53.6</v>
      </c>
      <c r="D5861" s="6">
        <v>47.5</v>
      </c>
      <c r="E5861" s="7">
        <f t="shared" si="91"/>
        <v>101.1</v>
      </c>
      <c r="F5861" s="8"/>
    </row>
    <row r="5862" spans="1:6" ht="18" customHeight="1">
      <c r="A5862" s="4" t="s">
        <v>204</v>
      </c>
      <c r="B5862" s="4" t="str">
        <f>"2020013802"</f>
        <v>2020013802</v>
      </c>
      <c r="C5862" s="5">
        <v>56.5</v>
      </c>
      <c r="D5862" s="6">
        <v>44</v>
      </c>
      <c r="E5862" s="7">
        <f t="shared" si="91"/>
        <v>100.5</v>
      </c>
      <c r="F5862" s="8"/>
    </row>
    <row r="5863" spans="1:6" ht="18" customHeight="1">
      <c r="A5863" s="4" t="s">
        <v>204</v>
      </c>
      <c r="B5863" s="4" t="str">
        <f>"2020030127"</f>
        <v>2020030127</v>
      </c>
      <c r="C5863" s="5">
        <v>51</v>
      </c>
      <c r="D5863" s="6">
        <v>49.5</v>
      </c>
      <c r="E5863" s="7">
        <f t="shared" si="91"/>
        <v>100.5</v>
      </c>
      <c r="F5863" s="8"/>
    </row>
    <row r="5864" spans="1:6" ht="18" customHeight="1">
      <c r="A5864" s="4" t="s">
        <v>204</v>
      </c>
      <c r="B5864" s="4" t="str">
        <f>"2020010617"</f>
        <v>2020010617</v>
      </c>
      <c r="C5864" s="5">
        <v>64.7</v>
      </c>
      <c r="D5864" s="6">
        <v>35.5</v>
      </c>
      <c r="E5864" s="7">
        <f t="shared" si="91"/>
        <v>100.2</v>
      </c>
      <c r="F5864" s="8"/>
    </row>
    <row r="5865" spans="1:6" ht="18" customHeight="1">
      <c r="A5865" s="4" t="s">
        <v>204</v>
      </c>
      <c r="B5865" s="4" t="str">
        <f>"2020021827"</f>
        <v>2020021827</v>
      </c>
      <c r="C5865" s="5">
        <v>55</v>
      </c>
      <c r="D5865" s="6">
        <v>42</v>
      </c>
      <c r="E5865" s="7">
        <f t="shared" si="91"/>
        <v>97</v>
      </c>
      <c r="F5865" s="8"/>
    </row>
    <row r="5866" spans="1:6" ht="18" customHeight="1">
      <c r="A5866" s="4" t="s">
        <v>204</v>
      </c>
      <c r="B5866" s="4" t="str">
        <f>"2020012425"</f>
        <v>2020012425</v>
      </c>
      <c r="C5866" s="5">
        <v>50.7</v>
      </c>
      <c r="D5866" s="6">
        <v>45.5</v>
      </c>
      <c r="E5866" s="7">
        <f t="shared" si="91"/>
        <v>96.2</v>
      </c>
      <c r="F5866" s="8"/>
    </row>
    <row r="5867" spans="1:6" ht="18" customHeight="1">
      <c r="A5867" s="4" t="s">
        <v>204</v>
      </c>
      <c r="B5867" s="4" t="str">
        <f>"2020043503"</f>
        <v>2020043503</v>
      </c>
      <c r="C5867" s="5">
        <v>54</v>
      </c>
      <c r="D5867" s="6">
        <v>41</v>
      </c>
      <c r="E5867" s="7">
        <f t="shared" si="91"/>
        <v>95</v>
      </c>
      <c r="F5867" s="8"/>
    </row>
    <row r="5868" spans="1:6" ht="18" customHeight="1">
      <c r="A5868" s="4" t="s">
        <v>204</v>
      </c>
      <c r="B5868" s="4" t="str">
        <f>"2020012501"</f>
        <v>2020012501</v>
      </c>
      <c r="C5868" s="5">
        <v>49.5</v>
      </c>
      <c r="D5868" s="6">
        <v>45.5</v>
      </c>
      <c r="E5868" s="7">
        <f t="shared" si="91"/>
        <v>95</v>
      </c>
      <c r="F5868" s="8"/>
    </row>
    <row r="5869" spans="1:6" ht="18" customHeight="1">
      <c r="A5869" s="4" t="s">
        <v>204</v>
      </c>
      <c r="B5869" s="4" t="str">
        <f>"2020045903"</f>
        <v>2020045903</v>
      </c>
      <c r="C5869" s="5">
        <v>53.3</v>
      </c>
      <c r="D5869" s="6">
        <v>40</v>
      </c>
      <c r="E5869" s="7">
        <f t="shared" si="91"/>
        <v>93.3</v>
      </c>
      <c r="F5869" s="8"/>
    </row>
    <row r="5870" spans="1:6" ht="18" customHeight="1">
      <c r="A5870" s="4" t="s">
        <v>204</v>
      </c>
      <c r="B5870" s="4" t="str">
        <f>"2020030216"</f>
        <v>2020030216</v>
      </c>
      <c r="C5870" s="5">
        <v>49.8</v>
      </c>
      <c r="D5870" s="6">
        <v>41.5</v>
      </c>
      <c r="E5870" s="7">
        <f t="shared" si="91"/>
        <v>91.3</v>
      </c>
      <c r="F5870" s="8"/>
    </row>
    <row r="5871" spans="1:6" ht="18" customHeight="1">
      <c r="A5871" s="4" t="s">
        <v>204</v>
      </c>
      <c r="B5871" s="4" t="str">
        <f>"2020030819"</f>
        <v>2020030819</v>
      </c>
      <c r="C5871" s="5">
        <v>46.6</v>
      </c>
      <c r="D5871" s="6">
        <v>44.5</v>
      </c>
      <c r="E5871" s="7">
        <f t="shared" si="91"/>
        <v>91.1</v>
      </c>
      <c r="F5871" s="8"/>
    </row>
    <row r="5872" spans="1:6" ht="18" customHeight="1">
      <c r="A5872" s="4" t="s">
        <v>204</v>
      </c>
      <c r="B5872" s="4" t="str">
        <f>"2020046114"</f>
        <v>2020046114</v>
      </c>
      <c r="C5872" s="5">
        <v>44.9</v>
      </c>
      <c r="D5872" s="6">
        <v>36</v>
      </c>
      <c r="E5872" s="7">
        <f t="shared" si="91"/>
        <v>80.900000000000006</v>
      </c>
      <c r="F5872" s="8"/>
    </row>
    <row r="5873" spans="1:6" ht="18" customHeight="1">
      <c r="A5873" s="4" t="s">
        <v>204</v>
      </c>
      <c r="B5873" s="4" t="str">
        <f>"2020020413"</f>
        <v>2020020413</v>
      </c>
      <c r="C5873" s="5">
        <v>57.4</v>
      </c>
      <c r="D5873" s="6">
        <v>5</v>
      </c>
      <c r="E5873" s="7">
        <f t="shared" si="91"/>
        <v>62.4</v>
      </c>
      <c r="F5873" s="8"/>
    </row>
    <row r="5874" spans="1:6" ht="18" customHeight="1">
      <c r="A5874" s="4" t="s">
        <v>204</v>
      </c>
      <c r="B5874" s="4" t="str">
        <f>"2020030728"</f>
        <v>2020030728</v>
      </c>
      <c r="C5874" s="5">
        <v>30</v>
      </c>
      <c r="D5874" s="6">
        <v>1</v>
      </c>
      <c r="E5874" s="7">
        <f t="shared" si="91"/>
        <v>31</v>
      </c>
      <c r="F5874" s="9"/>
    </row>
    <row r="5875" spans="1:6" ht="18" customHeight="1">
      <c r="A5875" s="4" t="s">
        <v>204</v>
      </c>
      <c r="B5875" s="4" t="str">
        <f>"2020012817"</f>
        <v>2020012817</v>
      </c>
      <c r="C5875" s="5">
        <v>0</v>
      </c>
      <c r="D5875" s="6">
        <v>0</v>
      </c>
      <c r="E5875" s="7">
        <f t="shared" si="91"/>
        <v>0</v>
      </c>
      <c r="F5875" s="9" t="s">
        <v>8</v>
      </c>
    </row>
    <row r="5876" spans="1:6" ht="18" customHeight="1">
      <c r="A5876" s="4" t="s">
        <v>204</v>
      </c>
      <c r="B5876" s="4" t="str">
        <f>"2020013328"</f>
        <v>2020013328</v>
      </c>
      <c r="C5876" s="5">
        <v>0</v>
      </c>
      <c r="D5876" s="6">
        <v>0</v>
      </c>
      <c r="E5876" s="7">
        <f t="shared" si="91"/>
        <v>0</v>
      </c>
      <c r="F5876" s="9" t="s">
        <v>8</v>
      </c>
    </row>
    <row r="5877" spans="1:6" ht="18" customHeight="1">
      <c r="A5877" s="4" t="s">
        <v>204</v>
      </c>
      <c r="B5877" s="4" t="str">
        <f>"2020020523"</f>
        <v>2020020523</v>
      </c>
      <c r="C5877" s="5">
        <v>0</v>
      </c>
      <c r="D5877" s="6">
        <v>0</v>
      </c>
      <c r="E5877" s="7">
        <f t="shared" si="91"/>
        <v>0</v>
      </c>
      <c r="F5877" s="8" t="s">
        <v>8</v>
      </c>
    </row>
    <row r="5878" spans="1:6" ht="18" customHeight="1">
      <c r="A5878" s="4" t="s">
        <v>204</v>
      </c>
      <c r="B5878" s="4" t="str">
        <f>"2020022126"</f>
        <v>2020022126</v>
      </c>
      <c r="C5878" s="5">
        <v>0</v>
      </c>
      <c r="D5878" s="6">
        <v>0</v>
      </c>
      <c r="E5878" s="7">
        <f t="shared" si="91"/>
        <v>0</v>
      </c>
      <c r="F5878" s="8" t="s">
        <v>8</v>
      </c>
    </row>
    <row r="5879" spans="1:6" ht="18" customHeight="1">
      <c r="A5879" s="4" t="s">
        <v>204</v>
      </c>
      <c r="B5879" s="4" t="str">
        <f>"2020023210"</f>
        <v>2020023210</v>
      </c>
      <c r="C5879" s="5">
        <v>0</v>
      </c>
      <c r="D5879" s="6">
        <v>0</v>
      </c>
      <c r="E5879" s="7">
        <f t="shared" si="91"/>
        <v>0</v>
      </c>
      <c r="F5879" s="8" t="s">
        <v>8</v>
      </c>
    </row>
    <row r="5880" spans="1:6" ht="18" customHeight="1">
      <c r="A5880" s="4" t="s">
        <v>204</v>
      </c>
      <c r="B5880" s="4" t="str">
        <f>"2020023428"</f>
        <v>2020023428</v>
      </c>
      <c r="C5880" s="5">
        <v>0</v>
      </c>
      <c r="D5880" s="6">
        <v>0</v>
      </c>
      <c r="E5880" s="7">
        <f t="shared" si="91"/>
        <v>0</v>
      </c>
      <c r="F5880" s="8" t="s">
        <v>8</v>
      </c>
    </row>
    <row r="5881" spans="1:6" ht="18" customHeight="1">
      <c r="A5881" s="4" t="s">
        <v>204</v>
      </c>
      <c r="B5881" s="4" t="str">
        <f>"2020031216"</f>
        <v>2020031216</v>
      </c>
      <c r="C5881" s="5">
        <v>0</v>
      </c>
      <c r="D5881" s="6">
        <v>0</v>
      </c>
      <c r="E5881" s="7">
        <f t="shared" si="91"/>
        <v>0</v>
      </c>
      <c r="F5881" s="8" t="s">
        <v>8</v>
      </c>
    </row>
    <row r="5882" spans="1:6" ht="18" customHeight="1">
      <c r="A5882" s="4" t="s">
        <v>204</v>
      </c>
      <c r="B5882" s="4" t="str">
        <f>"2020031519"</f>
        <v>2020031519</v>
      </c>
      <c r="C5882" s="5">
        <v>0</v>
      </c>
      <c r="D5882" s="6">
        <v>0</v>
      </c>
      <c r="E5882" s="7">
        <f t="shared" si="91"/>
        <v>0</v>
      </c>
      <c r="F5882" s="8" t="s">
        <v>8</v>
      </c>
    </row>
    <row r="5883" spans="1:6" ht="18" customHeight="1">
      <c r="A5883" s="4" t="s">
        <v>204</v>
      </c>
      <c r="B5883" s="4" t="str">
        <f>"2020033606"</f>
        <v>2020033606</v>
      </c>
      <c r="C5883" s="5">
        <v>0</v>
      </c>
      <c r="D5883" s="6">
        <v>0</v>
      </c>
      <c r="E5883" s="7">
        <f t="shared" si="91"/>
        <v>0</v>
      </c>
      <c r="F5883" s="8" t="s">
        <v>8</v>
      </c>
    </row>
    <row r="5884" spans="1:6" ht="18" customHeight="1">
      <c r="A5884" s="4" t="s">
        <v>204</v>
      </c>
      <c r="B5884" s="4" t="str">
        <f>"2020033917"</f>
        <v>2020033917</v>
      </c>
      <c r="C5884" s="5">
        <v>0</v>
      </c>
      <c r="D5884" s="6">
        <v>0</v>
      </c>
      <c r="E5884" s="7">
        <f t="shared" si="91"/>
        <v>0</v>
      </c>
      <c r="F5884" s="8" t="s">
        <v>8</v>
      </c>
    </row>
    <row r="5885" spans="1:6" ht="18" customHeight="1">
      <c r="A5885" s="4" t="s">
        <v>204</v>
      </c>
      <c r="B5885" s="4" t="str">
        <f>"2020040726"</f>
        <v>2020040726</v>
      </c>
      <c r="C5885" s="5">
        <v>0</v>
      </c>
      <c r="D5885" s="6">
        <v>0</v>
      </c>
      <c r="E5885" s="7">
        <f t="shared" si="91"/>
        <v>0</v>
      </c>
      <c r="F5885" s="8" t="s">
        <v>8</v>
      </c>
    </row>
    <row r="5886" spans="1:6" ht="18" customHeight="1">
      <c r="A5886" s="4" t="s">
        <v>204</v>
      </c>
      <c r="B5886" s="4" t="str">
        <f>"2020041918"</f>
        <v>2020041918</v>
      </c>
      <c r="C5886" s="5">
        <v>0</v>
      </c>
      <c r="D5886" s="6">
        <v>0</v>
      </c>
      <c r="E5886" s="7">
        <f t="shared" si="91"/>
        <v>0</v>
      </c>
      <c r="F5886" s="8" t="s">
        <v>8</v>
      </c>
    </row>
    <row r="5887" spans="1:6" ht="18" customHeight="1">
      <c r="A5887" s="4" t="s">
        <v>204</v>
      </c>
      <c r="B5887" s="4" t="str">
        <f>"2020042230"</f>
        <v>2020042230</v>
      </c>
      <c r="C5887" s="5">
        <v>0</v>
      </c>
      <c r="D5887" s="6">
        <v>0</v>
      </c>
      <c r="E5887" s="7">
        <f t="shared" si="91"/>
        <v>0</v>
      </c>
      <c r="F5887" s="8" t="s">
        <v>8</v>
      </c>
    </row>
    <row r="5888" spans="1:6" ht="18" customHeight="1">
      <c r="A5888" s="4" t="s">
        <v>204</v>
      </c>
      <c r="B5888" s="4" t="str">
        <f>"2020042628"</f>
        <v>2020042628</v>
      </c>
      <c r="C5888" s="5">
        <v>0</v>
      </c>
      <c r="D5888" s="6">
        <v>0</v>
      </c>
      <c r="E5888" s="7">
        <f t="shared" si="91"/>
        <v>0</v>
      </c>
      <c r="F5888" s="8" t="s">
        <v>8</v>
      </c>
    </row>
    <row r="5889" spans="1:6" ht="18" customHeight="1">
      <c r="A5889" s="4" t="s">
        <v>204</v>
      </c>
      <c r="B5889" s="4" t="str">
        <f>"2020042715"</f>
        <v>2020042715</v>
      </c>
      <c r="C5889" s="5">
        <v>0</v>
      </c>
      <c r="D5889" s="6">
        <v>0</v>
      </c>
      <c r="E5889" s="7">
        <f t="shared" si="91"/>
        <v>0</v>
      </c>
      <c r="F5889" s="8" t="s">
        <v>8</v>
      </c>
    </row>
    <row r="5890" spans="1:6" ht="18" customHeight="1">
      <c r="A5890" s="4" t="s">
        <v>204</v>
      </c>
      <c r="B5890" s="4" t="str">
        <f>"2020046518"</f>
        <v>2020046518</v>
      </c>
      <c r="C5890" s="5">
        <v>0</v>
      </c>
      <c r="D5890" s="6">
        <v>0</v>
      </c>
      <c r="E5890" s="7">
        <f t="shared" si="91"/>
        <v>0</v>
      </c>
      <c r="F5890" s="8" t="s">
        <v>8</v>
      </c>
    </row>
    <row r="5891" spans="1:6" ht="18" customHeight="1">
      <c r="A5891" s="4" t="s">
        <v>204</v>
      </c>
      <c r="B5891" s="4" t="str">
        <f>"2020046702"</f>
        <v>2020046702</v>
      </c>
      <c r="C5891" s="5">
        <v>0</v>
      </c>
      <c r="D5891" s="6">
        <v>0</v>
      </c>
      <c r="E5891" s="7">
        <f t="shared" ref="E5891:E5954" si="92">SUM(C5891:D5891)</f>
        <v>0</v>
      </c>
      <c r="F5891" s="8" t="s">
        <v>8</v>
      </c>
    </row>
    <row r="5892" spans="1:6" ht="18" customHeight="1">
      <c r="A5892" s="4" t="s">
        <v>204</v>
      </c>
      <c r="B5892" s="4" t="str">
        <f>"2020047115"</f>
        <v>2020047115</v>
      </c>
      <c r="C5892" s="5">
        <v>0</v>
      </c>
      <c r="D5892" s="6">
        <v>0</v>
      </c>
      <c r="E5892" s="7">
        <f t="shared" si="92"/>
        <v>0</v>
      </c>
      <c r="F5892" s="8" t="s">
        <v>8</v>
      </c>
    </row>
    <row r="5893" spans="1:6" ht="18" customHeight="1">
      <c r="A5893" s="4" t="s">
        <v>205</v>
      </c>
      <c r="B5893" s="4" t="str">
        <f>"2020021930"</f>
        <v>2020021930</v>
      </c>
      <c r="C5893" s="5">
        <v>74.900000000000006</v>
      </c>
      <c r="D5893" s="6">
        <v>79</v>
      </c>
      <c r="E5893" s="7">
        <f t="shared" si="92"/>
        <v>153.9</v>
      </c>
      <c r="F5893" s="8"/>
    </row>
    <row r="5894" spans="1:6" ht="18" customHeight="1">
      <c r="A5894" s="4" t="s">
        <v>205</v>
      </c>
      <c r="B5894" s="4" t="str">
        <f>"2020023608"</f>
        <v>2020023608</v>
      </c>
      <c r="C5894" s="5">
        <v>66.400000000000006</v>
      </c>
      <c r="D5894" s="6">
        <v>72</v>
      </c>
      <c r="E5894" s="7">
        <f t="shared" si="92"/>
        <v>138.4</v>
      </c>
      <c r="F5894" s="8"/>
    </row>
    <row r="5895" spans="1:6" ht="18" customHeight="1">
      <c r="A5895" s="4" t="s">
        <v>205</v>
      </c>
      <c r="B5895" s="4" t="str">
        <f>"2020013608"</f>
        <v>2020013608</v>
      </c>
      <c r="C5895" s="5">
        <v>69.7</v>
      </c>
      <c r="D5895" s="6">
        <v>67.5</v>
      </c>
      <c r="E5895" s="7">
        <f t="shared" si="92"/>
        <v>137.19999999999999</v>
      </c>
      <c r="F5895" s="8"/>
    </row>
    <row r="5896" spans="1:6" ht="18" customHeight="1">
      <c r="A5896" s="4" t="s">
        <v>205</v>
      </c>
      <c r="B5896" s="4" t="str">
        <f>"2020012114"</f>
        <v>2020012114</v>
      </c>
      <c r="C5896" s="5">
        <v>68</v>
      </c>
      <c r="D5896" s="6">
        <v>66</v>
      </c>
      <c r="E5896" s="7">
        <f t="shared" si="92"/>
        <v>134</v>
      </c>
      <c r="F5896" s="8"/>
    </row>
    <row r="5897" spans="1:6" ht="18" customHeight="1">
      <c r="A5897" s="4" t="s">
        <v>205</v>
      </c>
      <c r="B5897" s="4" t="str">
        <f>"2020033911"</f>
        <v>2020033911</v>
      </c>
      <c r="C5897" s="5">
        <v>63.7</v>
      </c>
      <c r="D5897" s="6">
        <v>63</v>
      </c>
      <c r="E5897" s="7">
        <f t="shared" si="92"/>
        <v>126.7</v>
      </c>
      <c r="F5897" s="8"/>
    </row>
    <row r="5898" spans="1:6" ht="18" customHeight="1">
      <c r="A5898" s="4" t="s">
        <v>205</v>
      </c>
      <c r="B5898" s="4" t="str">
        <f>"2020031028"</f>
        <v>2020031028</v>
      </c>
      <c r="C5898" s="5">
        <v>63.7</v>
      </c>
      <c r="D5898" s="6">
        <v>62</v>
      </c>
      <c r="E5898" s="7">
        <f t="shared" si="92"/>
        <v>125.7</v>
      </c>
      <c r="F5898" s="8"/>
    </row>
    <row r="5899" spans="1:6" ht="18" customHeight="1">
      <c r="A5899" s="4" t="s">
        <v>205</v>
      </c>
      <c r="B5899" s="4" t="str">
        <f>"2020042020"</f>
        <v>2020042020</v>
      </c>
      <c r="C5899" s="5">
        <v>61.5</v>
      </c>
      <c r="D5899" s="6">
        <v>63</v>
      </c>
      <c r="E5899" s="7">
        <f t="shared" si="92"/>
        <v>124.5</v>
      </c>
      <c r="F5899" s="8"/>
    </row>
    <row r="5900" spans="1:6" ht="18" customHeight="1">
      <c r="A5900" s="4" t="s">
        <v>205</v>
      </c>
      <c r="B5900" s="4" t="str">
        <f>"2020010515"</f>
        <v>2020010515</v>
      </c>
      <c r="C5900" s="5">
        <v>62.5</v>
      </c>
      <c r="D5900" s="6">
        <v>60.5</v>
      </c>
      <c r="E5900" s="7">
        <f t="shared" si="92"/>
        <v>123</v>
      </c>
      <c r="F5900" s="8"/>
    </row>
    <row r="5901" spans="1:6" ht="18" customHeight="1">
      <c r="A5901" s="4" t="s">
        <v>205</v>
      </c>
      <c r="B5901" s="4" t="str">
        <f>"2020023830"</f>
        <v>2020023830</v>
      </c>
      <c r="C5901" s="5">
        <v>60.8</v>
      </c>
      <c r="D5901" s="6">
        <v>59</v>
      </c>
      <c r="E5901" s="7">
        <f t="shared" si="92"/>
        <v>119.8</v>
      </c>
      <c r="F5901" s="8"/>
    </row>
    <row r="5902" spans="1:6" ht="18" customHeight="1">
      <c r="A5902" s="4" t="s">
        <v>205</v>
      </c>
      <c r="B5902" s="4" t="str">
        <f>"2020044017"</f>
        <v>2020044017</v>
      </c>
      <c r="C5902" s="5">
        <v>59.8</v>
      </c>
      <c r="D5902" s="6">
        <v>59.5</v>
      </c>
      <c r="E5902" s="7">
        <f t="shared" si="92"/>
        <v>119.3</v>
      </c>
      <c r="F5902" s="8"/>
    </row>
    <row r="5903" spans="1:6" ht="18" customHeight="1">
      <c r="A5903" s="4" t="s">
        <v>205</v>
      </c>
      <c r="B5903" s="4" t="str">
        <f>"2020041214"</f>
        <v>2020041214</v>
      </c>
      <c r="C5903" s="5">
        <v>63.7</v>
      </c>
      <c r="D5903" s="6">
        <v>50.5</v>
      </c>
      <c r="E5903" s="7">
        <f t="shared" si="92"/>
        <v>114.2</v>
      </c>
      <c r="F5903" s="8"/>
    </row>
    <row r="5904" spans="1:6" ht="18" customHeight="1">
      <c r="A5904" s="4" t="s">
        <v>205</v>
      </c>
      <c r="B5904" s="4" t="str">
        <f>"2020040722"</f>
        <v>2020040722</v>
      </c>
      <c r="C5904" s="5">
        <v>59.4</v>
      </c>
      <c r="D5904" s="6">
        <v>53.5</v>
      </c>
      <c r="E5904" s="7">
        <f t="shared" si="92"/>
        <v>112.9</v>
      </c>
      <c r="F5904" s="8"/>
    </row>
    <row r="5905" spans="1:6" ht="18" customHeight="1">
      <c r="A5905" s="4" t="s">
        <v>205</v>
      </c>
      <c r="B5905" s="4" t="str">
        <f>"2020043025"</f>
        <v>2020043025</v>
      </c>
      <c r="C5905" s="5">
        <v>56</v>
      </c>
      <c r="D5905" s="6">
        <v>54</v>
      </c>
      <c r="E5905" s="7">
        <f t="shared" si="92"/>
        <v>110</v>
      </c>
      <c r="F5905" s="8"/>
    </row>
    <row r="5906" spans="1:6" ht="18" customHeight="1">
      <c r="A5906" s="4" t="s">
        <v>205</v>
      </c>
      <c r="B5906" s="4" t="str">
        <f>"2020022920"</f>
        <v>2020022920</v>
      </c>
      <c r="C5906" s="5">
        <v>54.5</v>
      </c>
      <c r="D5906" s="6">
        <v>55.5</v>
      </c>
      <c r="E5906" s="7">
        <f t="shared" si="92"/>
        <v>110</v>
      </c>
      <c r="F5906" s="8"/>
    </row>
    <row r="5907" spans="1:6" ht="18" customHeight="1">
      <c r="A5907" s="4" t="s">
        <v>205</v>
      </c>
      <c r="B5907" s="4" t="str">
        <f>"2020010716"</f>
        <v>2020010716</v>
      </c>
      <c r="C5907" s="5">
        <v>50.9</v>
      </c>
      <c r="D5907" s="6">
        <v>55</v>
      </c>
      <c r="E5907" s="7">
        <f t="shared" si="92"/>
        <v>105.9</v>
      </c>
      <c r="F5907" s="8"/>
    </row>
    <row r="5908" spans="1:6" ht="18" customHeight="1">
      <c r="A5908" s="4" t="s">
        <v>205</v>
      </c>
      <c r="B5908" s="4" t="str">
        <f>"2020012629"</f>
        <v>2020012629</v>
      </c>
      <c r="C5908" s="5">
        <v>50.7</v>
      </c>
      <c r="D5908" s="6">
        <v>52</v>
      </c>
      <c r="E5908" s="7">
        <f t="shared" si="92"/>
        <v>102.7</v>
      </c>
      <c r="F5908" s="8"/>
    </row>
    <row r="5909" spans="1:6" ht="18" customHeight="1">
      <c r="A5909" s="4" t="s">
        <v>205</v>
      </c>
      <c r="B5909" s="4" t="str">
        <f>"2020046004"</f>
        <v>2020046004</v>
      </c>
      <c r="C5909" s="5">
        <v>48.2</v>
      </c>
      <c r="D5909" s="6">
        <v>53</v>
      </c>
      <c r="E5909" s="7">
        <f t="shared" si="92"/>
        <v>101.2</v>
      </c>
      <c r="F5909" s="8"/>
    </row>
    <row r="5910" spans="1:6" ht="18" customHeight="1">
      <c r="A5910" s="4" t="s">
        <v>205</v>
      </c>
      <c r="B5910" s="4" t="str">
        <f>"2020030502"</f>
        <v>2020030502</v>
      </c>
      <c r="C5910" s="5">
        <v>58.5</v>
      </c>
      <c r="D5910" s="6">
        <v>34</v>
      </c>
      <c r="E5910" s="7">
        <f t="shared" si="92"/>
        <v>92.5</v>
      </c>
      <c r="F5910" s="8"/>
    </row>
    <row r="5911" spans="1:6" ht="18" customHeight="1">
      <c r="A5911" s="4" t="s">
        <v>205</v>
      </c>
      <c r="B5911" s="4" t="str">
        <f>"2020020924"</f>
        <v>2020020924</v>
      </c>
      <c r="C5911" s="5">
        <v>0</v>
      </c>
      <c r="D5911" s="6">
        <v>0</v>
      </c>
      <c r="E5911" s="7">
        <f t="shared" si="92"/>
        <v>0</v>
      </c>
      <c r="F5911" s="8" t="s">
        <v>8</v>
      </c>
    </row>
    <row r="5912" spans="1:6" ht="18" customHeight="1">
      <c r="A5912" s="4" t="s">
        <v>205</v>
      </c>
      <c r="B5912" s="4" t="str">
        <f>"2020023025"</f>
        <v>2020023025</v>
      </c>
      <c r="C5912" s="5">
        <v>0</v>
      </c>
      <c r="D5912" s="6">
        <v>0</v>
      </c>
      <c r="E5912" s="7">
        <f t="shared" si="92"/>
        <v>0</v>
      </c>
      <c r="F5912" s="8" t="s">
        <v>8</v>
      </c>
    </row>
    <row r="5913" spans="1:6" ht="18" customHeight="1">
      <c r="A5913" s="4" t="s">
        <v>205</v>
      </c>
      <c r="B5913" s="4" t="str">
        <f>"2020041510"</f>
        <v>2020041510</v>
      </c>
      <c r="C5913" s="5">
        <v>0</v>
      </c>
      <c r="D5913" s="6">
        <v>0</v>
      </c>
      <c r="E5913" s="7">
        <f t="shared" si="92"/>
        <v>0</v>
      </c>
      <c r="F5913" s="8" t="s">
        <v>8</v>
      </c>
    </row>
    <row r="5914" spans="1:6" ht="18" customHeight="1">
      <c r="A5914" s="4" t="s">
        <v>206</v>
      </c>
      <c r="B5914" s="4" t="str">
        <f>"2020032114"</f>
        <v>2020032114</v>
      </c>
      <c r="C5914" s="5">
        <v>69.3</v>
      </c>
      <c r="D5914" s="6">
        <v>84.5</v>
      </c>
      <c r="E5914" s="7">
        <f t="shared" si="92"/>
        <v>153.80000000000001</v>
      </c>
      <c r="F5914" s="8"/>
    </row>
    <row r="5915" spans="1:6" ht="18" customHeight="1">
      <c r="A5915" s="4" t="s">
        <v>206</v>
      </c>
      <c r="B5915" s="4" t="str">
        <f>"2020043810"</f>
        <v>2020043810</v>
      </c>
      <c r="C5915" s="5">
        <v>65.7</v>
      </c>
      <c r="D5915" s="6">
        <v>61.5</v>
      </c>
      <c r="E5915" s="7">
        <f t="shared" si="92"/>
        <v>127.2</v>
      </c>
      <c r="F5915" s="8"/>
    </row>
    <row r="5916" spans="1:6" ht="18" customHeight="1">
      <c r="A5916" s="4" t="s">
        <v>206</v>
      </c>
      <c r="B5916" s="4" t="str">
        <f>"2020042809"</f>
        <v>2020042809</v>
      </c>
      <c r="C5916" s="5">
        <v>64.900000000000006</v>
      </c>
      <c r="D5916" s="6">
        <v>54</v>
      </c>
      <c r="E5916" s="7">
        <f t="shared" si="92"/>
        <v>118.9</v>
      </c>
      <c r="F5916" s="8"/>
    </row>
    <row r="5917" spans="1:6" ht="18" customHeight="1">
      <c r="A5917" s="4" t="s">
        <v>207</v>
      </c>
      <c r="B5917" s="4" t="str">
        <f>"2020040426"</f>
        <v>2020040426</v>
      </c>
      <c r="C5917" s="5">
        <v>70.900000000000006</v>
      </c>
      <c r="D5917" s="6">
        <v>66</v>
      </c>
      <c r="E5917" s="7">
        <f t="shared" si="92"/>
        <v>136.9</v>
      </c>
      <c r="F5917" s="8"/>
    </row>
    <row r="5918" spans="1:6" ht="18" customHeight="1">
      <c r="A5918" s="4" t="s">
        <v>207</v>
      </c>
      <c r="B5918" s="4" t="str">
        <f>"2020030303"</f>
        <v>2020030303</v>
      </c>
      <c r="C5918" s="5">
        <v>70.3</v>
      </c>
      <c r="D5918" s="6">
        <v>65.5</v>
      </c>
      <c r="E5918" s="7">
        <f t="shared" si="92"/>
        <v>135.80000000000001</v>
      </c>
      <c r="F5918" s="8"/>
    </row>
    <row r="5919" spans="1:6" ht="18" customHeight="1">
      <c r="A5919" s="4" t="s">
        <v>207</v>
      </c>
      <c r="B5919" s="4" t="str">
        <f>"2020024110"</f>
        <v>2020024110</v>
      </c>
      <c r="C5919" s="5">
        <v>0</v>
      </c>
      <c r="D5919" s="6">
        <v>0</v>
      </c>
      <c r="E5919" s="7">
        <f t="shared" si="92"/>
        <v>0</v>
      </c>
      <c r="F5919" s="8" t="s">
        <v>8</v>
      </c>
    </row>
    <row r="5920" spans="1:6" ht="18" customHeight="1">
      <c r="A5920" s="4" t="s">
        <v>208</v>
      </c>
      <c r="B5920" s="4" t="str">
        <f>"2020032807"</f>
        <v>2020032807</v>
      </c>
      <c r="C5920" s="5">
        <v>75.3</v>
      </c>
      <c r="D5920" s="6">
        <v>83.5</v>
      </c>
      <c r="E5920" s="7">
        <f t="shared" si="92"/>
        <v>158.80000000000001</v>
      </c>
      <c r="F5920" s="8"/>
    </row>
    <row r="5921" spans="1:6" ht="18" customHeight="1">
      <c r="A5921" s="4" t="s">
        <v>208</v>
      </c>
      <c r="B5921" s="4" t="str">
        <f>"2020043520"</f>
        <v>2020043520</v>
      </c>
      <c r="C5921" s="5">
        <v>69.2</v>
      </c>
      <c r="D5921" s="6">
        <v>89</v>
      </c>
      <c r="E5921" s="7">
        <f t="shared" si="92"/>
        <v>158.19999999999999</v>
      </c>
      <c r="F5921" s="8"/>
    </row>
    <row r="5922" spans="1:6" ht="18" customHeight="1">
      <c r="A5922" s="4" t="s">
        <v>208</v>
      </c>
      <c r="B5922" s="4" t="str">
        <f>"2020030301"</f>
        <v>2020030301</v>
      </c>
      <c r="C5922" s="5">
        <v>75.400000000000006</v>
      </c>
      <c r="D5922" s="6">
        <v>79</v>
      </c>
      <c r="E5922" s="7">
        <f t="shared" si="92"/>
        <v>154.4</v>
      </c>
      <c r="F5922" s="8"/>
    </row>
    <row r="5923" spans="1:6" ht="18" customHeight="1">
      <c r="A5923" s="4" t="s">
        <v>208</v>
      </c>
      <c r="B5923" s="4" t="str">
        <f>"2020041009"</f>
        <v>2020041009</v>
      </c>
      <c r="C5923" s="5">
        <v>78.7</v>
      </c>
      <c r="D5923" s="6">
        <v>74.5</v>
      </c>
      <c r="E5923" s="7">
        <f t="shared" si="92"/>
        <v>153.19999999999999</v>
      </c>
      <c r="F5923" s="9" t="s">
        <v>13</v>
      </c>
    </row>
    <row r="5924" spans="1:6" ht="18" customHeight="1">
      <c r="A5924" s="4" t="s">
        <v>208</v>
      </c>
      <c r="B5924" s="4" t="str">
        <f>"2020012208"</f>
        <v>2020012208</v>
      </c>
      <c r="C5924" s="5">
        <v>68.5</v>
      </c>
      <c r="D5924" s="6">
        <v>84.5</v>
      </c>
      <c r="E5924" s="7">
        <f t="shared" si="92"/>
        <v>153</v>
      </c>
      <c r="F5924" s="8"/>
    </row>
    <row r="5925" spans="1:6" ht="18" customHeight="1">
      <c r="A5925" s="4" t="s">
        <v>208</v>
      </c>
      <c r="B5925" s="4" t="str">
        <f>"2020021424"</f>
        <v>2020021424</v>
      </c>
      <c r="C5925" s="5">
        <v>64.7</v>
      </c>
      <c r="D5925" s="6">
        <v>87</v>
      </c>
      <c r="E5925" s="7">
        <f t="shared" si="92"/>
        <v>151.69999999999999</v>
      </c>
      <c r="F5925" s="8"/>
    </row>
    <row r="5926" spans="1:6" ht="18" customHeight="1">
      <c r="A5926" s="4" t="s">
        <v>208</v>
      </c>
      <c r="B5926" s="4" t="str">
        <f>"2020024315"</f>
        <v>2020024315</v>
      </c>
      <c r="C5926" s="5">
        <v>76.3</v>
      </c>
      <c r="D5926" s="6">
        <v>74</v>
      </c>
      <c r="E5926" s="7">
        <f t="shared" si="92"/>
        <v>150.30000000000001</v>
      </c>
      <c r="F5926" s="8"/>
    </row>
    <row r="5927" spans="1:6" ht="18" customHeight="1">
      <c r="A5927" s="4" t="s">
        <v>208</v>
      </c>
      <c r="B5927" s="4" t="str">
        <f>"2020011815"</f>
        <v>2020011815</v>
      </c>
      <c r="C5927" s="5">
        <v>70.2</v>
      </c>
      <c r="D5927" s="6">
        <v>80</v>
      </c>
      <c r="E5927" s="7">
        <f t="shared" si="92"/>
        <v>150.19999999999999</v>
      </c>
      <c r="F5927" s="8"/>
    </row>
    <row r="5928" spans="1:6" ht="18" customHeight="1">
      <c r="A5928" s="4" t="s">
        <v>208</v>
      </c>
      <c r="B5928" s="4" t="str">
        <f>"2020020910"</f>
        <v>2020020910</v>
      </c>
      <c r="C5928" s="5">
        <v>70.400000000000006</v>
      </c>
      <c r="D5928" s="6">
        <v>79</v>
      </c>
      <c r="E5928" s="7">
        <f t="shared" si="92"/>
        <v>149.4</v>
      </c>
      <c r="F5928" s="8"/>
    </row>
    <row r="5929" spans="1:6" ht="18" customHeight="1">
      <c r="A5929" s="4" t="s">
        <v>208</v>
      </c>
      <c r="B5929" s="4" t="str">
        <f>"2020010720"</f>
        <v>2020010720</v>
      </c>
      <c r="C5929" s="5">
        <v>73.900000000000006</v>
      </c>
      <c r="D5929" s="6">
        <v>74.5</v>
      </c>
      <c r="E5929" s="7">
        <f t="shared" si="92"/>
        <v>148.4</v>
      </c>
      <c r="F5929" s="8"/>
    </row>
    <row r="5930" spans="1:6" ht="18" customHeight="1">
      <c r="A5930" s="4" t="s">
        <v>208</v>
      </c>
      <c r="B5930" s="4" t="str">
        <f>"2020021711"</f>
        <v>2020021711</v>
      </c>
      <c r="C5930" s="5">
        <v>71.3</v>
      </c>
      <c r="D5930" s="6">
        <v>77</v>
      </c>
      <c r="E5930" s="7">
        <f t="shared" si="92"/>
        <v>148.30000000000001</v>
      </c>
      <c r="F5930" s="8"/>
    </row>
    <row r="5931" spans="1:6" ht="18" customHeight="1">
      <c r="A5931" s="4" t="s">
        <v>208</v>
      </c>
      <c r="B5931" s="4" t="str">
        <f>"2020011607"</f>
        <v>2020011607</v>
      </c>
      <c r="C5931" s="5">
        <v>74.599999999999994</v>
      </c>
      <c r="D5931" s="6">
        <v>73.5</v>
      </c>
      <c r="E5931" s="7">
        <f t="shared" si="92"/>
        <v>148.1</v>
      </c>
      <c r="F5931" s="8"/>
    </row>
    <row r="5932" spans="1:6" ht="18" customHeight="1">
      <c r="A5932" s="4" t="s">
        <v>208</v>
      </c>
      <c r="B5932" s="4" t="str">
        <f>"2020010701"</f>
        <v>2020010701</v>
      </c>
      <c r="C5932" s="5">
        <v>71.900000000000006</v>
      </c>
      <c r="D5932" s="6">
        <v>76</v>
      </c>
      <c r="E5932" s="7">
        <f t="shared" si="92"/>
        <v>147.9</v>
      </c>
      <c r="F5932" s="8"/>
    </row>
    <row r="5933" spans="1:6" ht="18" customHeight="1">
      <c r="A5933" s="4" t="s">
        <v>208</v>
      </c>
      <c r="B5933" s="4" t="str">
        <f>"2020045709"</f>
        <v>2020045709</v>
      </c>
      <c r="C5933" s="5">
        <v>68.900000000000006</v>
      </c>
      <c r="D5933" s="6">
        <v>79</v>
      </c>
      <c r="E5933" s="7">
        <f t="shared" si="92"/>
        <v>147.9</v>
      </c>
      <c r="F5933" s="8"/>
    </row>
    <row r="5934" spans="1:6" ht="18" customHeight="1">
      <c r="A5934" s="4" t="s">
        <v>208</v>
      </c>
      <c r="B5934" s="4" t="str">
        <f>"2020045413"</f>
        <v>2020045413</v>
      </c>
      <c r="C5934" s="5">
        <v>70.900000000000006</v>
      </c>
      <c r="D5934" s="6">
        <v>76.5</v>
      </c>
      <c r="E5934" s="7">
        <f t="shared" si="92"/>
        <v>147.4</v>
      </c>
      <c r="F5934" s="8"/>
    </row>
    <row r="5935" spans="1:6" ht="18" customHeight="1">
      <c r="A5935" s="4" t="s">
        <v>208</v>
      </c>
      <c r="B5935" s="4" t="str">
        <f>"2020021805"</f>
        <v>2020021805</v>
      </c>
      <c r="C5935" s="5">
        <v>69.099999999999994</v>
      </c>
      <c r="D5935" s="6">
        <v>77</v>
      </c>
      <c r="E5935" s="7">
        <f t="shared" si="92"/>
        <v>146.1</v>
      </c>
      <c r="F5935" s="8"/>
    </row>
    <row r="5936" spans="1:6" ht="18" customHeight="1">
      <c r="A5936" s="4" t="s">
        <v>208</v>
      </c>
      <c r="B5936" s="4" t="str">
        <f>"2020023129"</f>
        <v>2020023129</v>
      </c>
      <c r="C5936" s="5">
        <v>71.400000000000006</v>
      </c>
      <c r="D5936" s="6">
        <v>73</v>
      </c>
      <c r="E5936" s="7">
        <f t="shared" si="92"/>
        <v>144.4</v>
      </c>
      <c r="F5936" s="8"/>
    </row>
    <row r="5937" spans="1:6" ht="18" customHeight="1">
      <c r="A5937" s="4" t="s">
        <v>208</v>
      </c>
      <c r="B5937" s="4" t="str">
        <f>"2020041027"</f>
        <v>2020041027</v>
      </c>
      <c r="C5937" s="5">
        <v>67.8</v>
      </c>
      <c r="D5937" s="6">
        <v>76.5</v>
      </c>
      <c r="E5937" s="7">
        <f t="shared" si="92"/>
        <v>144.30000000000001</v>
      </c>
      <c r="F5937" s="8"/>
    </row>
    <row r="5938" spans="1:6" ht="18" customHeight="1">
      <c r="A5938" s="4" t="s">
        <v>208</v>
      </c>
      <c r="B5938" s="4" t="str">
        <f>"2020021526"</f>
        <v>2020021526</v>
      </c>
      <c r="C5938" s="5">
        <v>71.2</v>
      </c>
      <c r="D5938" s="6">
        <v>73</v>
      </c>
      <c r="E5938" s="7">
        <f t="shared" si="92"/>
        <v>144.19999999999999</v>
      </c>
      <c r="F5938" s="8"/>
    </row>
    <row r="5939" spans="1:6" ht="18" customHeight="1">
      <c r="A5939" s="4" t="s">
        <v>208</v>
      </c>
      <c r="B5939" s="4" t="str">
        <f>"2020043015"</f>
        <v>2020043015</v>
      </c>
      <c r="C5939" s="5">
        <v>72</v>
      </c>
      <c r="D5939" s="6">
        <v>72</v>
      </c>
      <c r="E5939" s="7">
        <f t="shared" si="92"/>
        <v>144</v>
      </c>
      <c r="F5939" s="8"/>
    </row>
    <row r="5940" spans="1:6" ht="18" customHeight="1">
      <c r="A5940" s="4" t="s">
        <v>208</v>
      </c>
      <c r="B5940" s="4" t="str">
        <f>"2020012311"</f>
        <v>2020012311</v>
      </c>
      <c r="C5940" s="5">
        <v>60.3</v>
      </c>
      <c r="D5940" s="6">
        <v>83</v>
      </c>
      <c r="E5940" s="7">
        <f t="shared" si="92"/>
        <v>143.30000000000001</v>
      </c>
      <c r="F5940" s="8"/>
    </row>
    <row r="5941" spans="1:6" ht="18" customHeight="1">
      <c r="A5941" s="4" t="s">
        <v>208</v>
      </c>
      <c r="B5941" s="4" t="str">
        <f>"2020043506"</f>
        <v>2020043506</v>
      </c>
      <c r="C5941" s="5">
        <v>75.3</v>
      </c>
      <c r="D5941" s="6">
        <v>67.5</v>
      </c>
      <c r="E5941" s="7">
        <f t="shared" si="92"/>
        <v>142.80000000000001</v>
      </c>
      <c r="F5941" s="8"/>
    </row>
    <row r="5942" spans="1:6" ht="18" customHeight="1">
      <c r="A5942" s="4" t="s">
        <v>208</v>
      </c>
      <c r="B5942" s="4" t="str">
        <f>"2020013807"</f>
        <v>2020013807</v>
      </c>
      <c r="C5942" s="5">
        <v>65.400000000000006</v>
      </c>
      <c r="D5942" s="6">
        <v>76.5</v>
      </c>
      <c r="E5942" s="7">
        <f t="shared" si="92"/>
        <v>141.9</v>
      </c>
      <c r="F5942" s="8"/>
    </row>
    <row r="5943" spans="1:6" ht="18" customHeight="1">
      <c r="A5943" s="4" t="s">
        <v>208</v>
      </c>
      <c r="B5943" s="4" t="str">
        <f>"2020032110"</f>
        <v>2020032110</v>
      </c>
      <c r="C5943" s="5">
        <v>72.3</v>
      </c>
      <c r="D5943" s="6">
        <v>69.5</v>
      </c>
      <c r="E5943" s="7">
        <f t="shared" si="92"/>
        <v>141.80000000000001</v>
      </c>
      <c r="F5943" s="8"/>
    </row>
    <row r="5944" spans="1:6" ht="18" customHeight="1">
      <c r="A5944" s="4" t="s">
        <v>208</v>
      </c>
      <c r="B5944" s="4" t="str">
        <f>"2020032502"</f>
        <v>2020032502</v>
      </c>
      <c r="C5944" s="5">
        <v>67.7</v>
      </c>
      <c r="D5944" s="6">
        <v>73.5</v>
      </c>
      <c r="E5944" s="7">
        <f t="shared" si="92"/>
        <v>141.19999999999999</v>
      </c>
      <c r="F5944" s="8"/>
    </row>
    <row r="5945" spans="1:6" ht="18" customHeight="1">
      <c r="A5945" s="4" t="s">
        <v>208</v>
      </c>
      <c r="B5945" s="4" t="str">
        <f>"2020032027"</f>
        <v>2020032027</v>
      </c>
      <c r="C5945" s="5">
        <v>67.3</v>
      </c>
      <c r="D5945" s="6">
        <v>73.5</v>
      </c>
      <c r="E5945" s="7">
        <f t="shared" si="92"/>
        <v>140.80000000000001</v>
      </c>
      <c r="F5945" s="8"/>
    </row>
    <row r="5946" spans="1:6" ht="18" customHeight="1">
      <c r="A5946" s="4" t="s">
        <v>208</v>
      </c>
      <c r="B5946" s="4" t="str">
        <f>"2020032206"</f>
        <v>2020032206</v>
      </c>
      <c r="C5946" s="5">
        <v>65.599999999999994</v>
      </c>
      <c r="D5946" s="6">
        <v>75</v>
      </c>
      <c r="E5946" s="7">
        <f t="shared" si="92"/>
        <v>140.6</v>
      </c>
      <c r="F5946" s="8"/>
    </row>
    <row r="5947" spans="1:6" ht="18" customHeight="1">
      <c r="A5947" s="4" t="s">
        <v>208</v>
      </c>
      <c r="B5947" s="4" t="str">
        <f>"2020046726"</f>
        <v>2020046726</v>
      </c>
      <c r="C5947" s="5">
        <v>75.7</v>
      </c>
      <c r="D5947" s="6">
        <v>64.5</v>
      </c>
      <c r="E5947" s="7">
        <f t="shared" si="92"/>
        <v>140.19999999999999</v>
      </c>
      <c r="F5947" s="8"/>
    </row>
    <row r="5948" spans="1:6" ht="18" customHeight="1">
      <c r="A5948" s="4" t="s">
        <v>208</v>
      </c>
      <c r="B5948" s="4" t="str">
        <f>"2020010620"</f>
        <v>2020010620</v>
      </c>
      <c r="C5948" s="5">
        <v>65.2</v>
      </c>
      <c r="D5948" s="6">
        <v>75</v>
      </c>
      <c r="E5948" s="7">
        <f t="shared" si="92"/>
        <v>140.19999999999999</v>
      </c>
      <c r="F5948" s="8"/>
    </row>
    <row r="5949" spans="1:6" ht="18" customHeight="1">
      <c r="A5949" s="4" t="s">
        <v>208</v>
      </c>
      <c r="B5949" s="4" t="str">
        <f>"2020041619"</f>
        <v>2020041619</v>
      </c>
      <c r="C5949" s="5">
        <v>70.599999999999994</v>
      </c>
      <c r="D5949" s="6">
        <v>69.5</v>
      </c>
      <c r="E5949" s="7">
        <f t="shared" si="92"/>
        <v>140.1</v>
      </c>
      <c r="F5949" s="8"/>
    </row>
    <row r="5950" spans="1:6" ht="18" customHeight="1">
      <c r="A5950" s="4" t="s">
        <v>208</v>
      </c>
      <c r="B5950" s="4" t="str">
        <f>"2020011210"</f>
        <v>2020011210</v>
      </c>
      <c r="C5950" s="5">
        <v>69.099999999999994</v>
      </c>
      <c r="D5950" s="6">
        <v>71</v>
      </c>
      <c r="E5950" s="7">
        <f t="shared" si="92"/>
        <v>140.1</v>
      </c>
      <c r="F5950" s="8"/>
    </row>
    <row r="5951" spans="1:6" ht="18" customHeight="1">
      <c r="A5951" s="4" t="s">
        <v>208</v>
      </c>
      <c r="B5951" s="4" t="str">
        <f>"2020032104"</f>
        <v>2020032104</v>
      </c>
      <c r="C5951" s="5">
        <v>66.5</v>
      </c>
      <c r="D5951" s="6">
        <v>72.5</v>
      </c>
      <c r="E5951" s="7">
        <f t="shared" si="92"/>
        <v>139</v>
      </c>
      <c r="F5951" s="8"/>
    </row>
    <row r="5952" spans="1:6" ht="18" customHeight="1">
      <c r="A5952" s="4" t="s">
        <v>208</v>
      </c>
      <c r="B5952" s="4" t="str">
        <f>"2020043323"</f>
        <v>2020043323</v>
      </c>
      <c r="C5952" s="5">
        <v>66.5</v>
      </c>
      <c r="D5952" s="6">
        <v>72</v>
      </c>
      <c r="E5952" s="7">
        <f t="shared" si="92"/>
        <v>138.5</v>
      </c>
      <c r="F5952" s="8"/>
    </row>
    <row r="5953" spans="1:6" ht="18" customHeight="1">
      <c r="A5953" s="4" t="s">
        <v>208</v>
      </c>
      <c r="B5953" s="4" t="str">
        <f>"2020042328"</f>
        <v>2020042328</v>
      </c>
      <c r="C5953" s="5">
        <v>69.7</v>
      </c>
      <c r="D5953" s="6">
        <v>68</v>
      </c>
      <c r="E5953" s="7">
        <f t="shared" si="92"/>
        <v>137.69999999999999</v>
      </c>
      <c r="F5953" s="8"/>
    </row>
    <row r="5954" spans="1:6" ht="18" customHeight="1">
      <c r="A5954" s="4" t="s">
        <v>208</v>
      </c>
      <c r="B5954" s="4" t="str">
        <f>"2020033215"</f>
        <v>2020033215</v>
      </c>
      <c r="C5954" s="5">
        <v>71.599999999999994</v>
      </c>
      <c r="D5954" s="6">
        <v>66</v>
      </c>
      <c r="E5954" s="7">
        <f t="shared" si="92"/>
        <v>137.6</v>
      </c>
      <c r="F5954" s="8"/>
    </row>
    <row r="5955" spans="1:6" ht="18" customHeight="1">
      <c r="A5955" s="4" t="s">
        <v>208</v>
      </c>
      <c r="B5955" s="4" t="str">
        <f>"2020040516"</f>
        <v>2020040516</v>
      </c>
      <c r="C5955" s="5">
        <v>71.599999999999994</v>
      </c>
      <c r="D5955" s="6">
        <v>65.5</v>
      </c>
      <c r="E5955" s="7">
        <f t="shared" ref="E5955:E6018" si="93">SUM(C5955:D5955)</f>
        <v>137.1</v>
      </c>
      <c r="F5955" s="8"/>
    </row>
    <row r="5956" spans="1:6" ht="18" customHeight="1">
      <c r="A5956" s="4" t="s">
        <v>208</v>
      </c>
      <c r="B5956" s="4" t="str">
        <f>"2020023306"</f>
        <v>2020023306</v>
      </c>
      <c r="C5956" s="5">
        <v>68</v>
      </c>
      <c r="D5956" s="6">
        <v>68.5</v>
      </c>
      <c r="E5956" s="7">
        <f t="shared" si="93"/>
        <v>136.5</v>
      </c>
      <c r="F5956" s="8"/>
    </row>
    <row r="5957" spans="1:6" ht="18" customHeight="1">
      <c r="A5957" s="4" t="s">
        <v>208</v>
      </c>
      <c r="B5957" s="4" t="str">
        <f>"2020047327"</f>
        <v>2020047327</v>
      </c>
      <c r="C5957" s="5">
        <v>68.3</v>
      </c>
      <c r="D5957" s="6">
        <v>68</v>
      </c>
      <c r="E5957" s="7">
        <f t="shared" si="93"/>
        <v>136.30000000000001</v>
      </c>
      <c r="F5957" s="8"/>
    </row>
    <row r="5958" spans="1:6" ht="18" customHeight="1">
      <c r="A5958" s="4" t="s">
        <v>208</v>
      </c>
      <c r="B5958" s="4" t="str">
        <f>"2020013815"</f>
        <v>2020013815</v>
      </c>
      <c r="C5958" s="5">
        <v>63.3</v>
      </c>
      <c r="D5958" s="6">
        <v>73</v>
      </c>
      <c r="E5958" s="7">
        <f t="shared" si="93"/>
        <v>136.30000000000001</v>
      </c>
      <c r="F5958" s="8"/>
    </row>
    <row r="5959" spans="1:6" ht="18" customHeight="1">
      <c r="A5959" s="4" t="s">
        <v>208</v>
      </c>
      <c r="B5959" s="4" t="str">
        <f>"2020012130"</f>
        <v>2020012130</v>
      </c>
      <c r="C5959" s="5">
        <v>74</v>
      </c>
      <c r="D5959" s="6">
        <v>62</v>
      </c>
      <c r="E5959" s="7">
        <f t="shared" si="93"/>
        <v>136</v>
      </c>
      <c r="F5959" s="8"/>
    </row>
    <row r="5960" spans="1:6" ht="18" customHeight="1">
      <c r="A5960" s="4" t="s">
        <v>208</v>
      </c>
      <c r="B5960" s="4" t="str">
        <f>"2020030621"</f>
        <v>2020030621</v>
      </c>
      <c r="C5960" s="5">
        <v>61.9</v>
      </c>
      <c r="D5960" s="6">
        <v>74</v>
      </c>
      <c r="E5960" s="7">
        <f t="shared" si="93"/>
        <v>135.9</v>
      </c>
      <c r="F5960" s="8"/>
    </row>
    <row r="5961" spans="1:6" ht="18" customHeight="1">
      <c r="A5961" s="4" t="s">
        <v>208</v>
      </c>
      <c r="B5961" s="4" t="str">
        <f>"2020032026"</f>
        <v>2020032026</v>
      </c>
      <c r="C5961" s="5">
        <v>73.099999999999994</v>
      </c>
      <c r="D5961" s="6">
        <v>62.5</v>
      </c>
      <c r="E5961" s="7">
        <f t="shared" si="93"/>
        <v>135.6</v>
      </c>
      <c r="F5961" s="8"/>
    </row>
    <row r="5962" spans="1:6" ht="18" customHeight="1">
      <c r="A5962" s="4" t="s">
        <v>208</v>
      </c>
      <c r="B5962" s="4" t="str">
        <f>"2020011108"</f>
        <v>2020011108</v>
      </c>
      <c r="C5962" s="5">
        <v>61.1</v>
      </c>
      <c r="D5962" s="6">
        <v>74.5</v>
      </c>
      <c r="E5962" s="7">
        <f t="shared" si="93"/>
        <v>135.6</v>
      </c>
      <c r="F5962" s="8"/>
    </row>
    <row r="5963" spans="1:6" ht="18" customHeight="1">
      <c r="A5963" s="4" t="s">
        <v>208</v>
      </c>
      <c r="B5963" s="4" t="str">
        <f>"2020031512"</f>
        <v>2020031512</v>
      </c>
      <c r="C5963" s="5">
        <v>73.7</v>
      </c>
      <c r="D5963" s="6">
        <v>61.5</v>
      </c>
      <c r="E5963" s="7">
        <f t="shared" si="93"/>
        <v>135.19999999999999</v>
      </c>
      <c r="F5963" s="8"/>
    </row>
    <row r="5964" spans="1:6" ht="18" customHeight="1">
      <c r="A5964" s="4" t="s">
        <v>208</v>
      </c>
      <c r="B5964" s="4" t="str">
        <f>"2020045206"</f>
        <v>2020045206</v>
      </c>
      <c r="C5964" s="5">
        <v>64.5</v>
      </c>
      <c r="D5964" s="6">
        <v>70.5</v>
      </c>
      <c r="E5964" s="7">
        <f t="shared" si="93"/>
        <v>135</v>
      </c>
      <c r="F5964" s="8"/>
    </row>
    <row r="5965" spans="1:6" ht="18" customHeight="1">
      <c r="A5965" s="4" t="s">
        <v>208</v>
      </c>
      <c r="B5965" s="4" t="str">
        <f>"2020031130"</f>
        <v>2020031130</v>
      </c>
      <c r="C5965" s="5">
        <v>59.7</v>
      </c>
      <c r="D5965" s="6">
        <v>75</v>
      </c>
      <c r="E5965" s="7">
        <f t="shared" si="93"/>
        <v>134.69999999999999</v>
      </c>
      <c r="F5965" s="8"/>
    </row>
    <row r="5966" spans="1:6" ht="18" customHeight="1">
      <c r="A5966" s="4" t="s">
        <v>208</v>
      </c>
      <c r="B5966" s="4" t="str">
        <f>"2020023507"</f>
        <v>2020023507</v>
      </c>
      <c r="C5966" s="5">
        <v>64.5</v>
      </c>
      <c r="D5966" s="6">
        <v>70</v>
      </c>
      <c r="E5966" s="7">
        <f t="shared" si="93"/>
        <v>134.5</v>
      </c>
      <c r="F5966" s="8"/>
    </row>
    <row r="5967" spans="1:6" ht="18" customHeight="1">
      <c r="A5967" s="4" t="s">
        <v>208</v>
      </c>
      <c r="B5967" s="4" t="str">
        <f>"2020042802"</f>
        <v>2020042802</v>
      </c>
      <c r="C5967" s="5">
        <v>64.5</v>
      </c>
      <c r="D5967" s="6">
        <v>69.5</v>
      </c>
      <c r="E5967" s="7">
        <f t="shared" si="93"/>
        <v>134</v>
      </c>
      <c r="F5967" s="8"/>
    </row>
    <row r="5968" spans="1:6" ht="18" customHeight="1">
      <c r="A5968" s="4" t="s">
        <v>208</v>
      </c>
      <c r="B5968" s="4" t="str">
        <f>"2020042524"</f>
        <v>2020042524</v>
      </c>
      <c r="C5968" s="5">
        <v>68.400000000000006</v>
      </c>
      <c r="D5968" s="6">
        <v>65.5</v>
      </c>
      <c r="E5968" s="7">
        <f t="shared" si="93"/>
        <v>133.9</v>
      </c>
      <c r="F5968" s="8"/>
    </row>
    <row r="5969" spans="1:6" ht="18" customHeight="1">
      <c r="A5969" s="4" t="s">
        <v>208</v>
      </c>
      <c r="B5969" s="4" t="str">
        <f>"2020012525"</f>
        <v>2020012525</v>
      </c>
      <c r="C5969" s="5">
        <v>70.8</v>
      </c>
      <c r="D5969" s="6">
        <v>62.5</v>
      </c>
      <c r="E5969" s="7">
        <f t="shared" si="93"/>
        <v>133.30000000000001</v>
      </c>
      <c r="F5969" s="8"/>
    </row>
    <row r="5970" spans="1:6" ht="18" customHeight="1">
      <c r="A5970" s="4" t="s">
        <v>208</v>
      </c>
      <c r="B5970" s="4" t="str">
        <f>"2020041710"</f>
        <v>2020041710</v>
      </c>
      <c r="C5970" s="5">
        <v>67.3</v>
      </c>
      <c r="D5970" s="6">
        <v>66</v>
      </c>
      <c r="E5970" s="7">
        <f t="shared" si="93"/>
        <v>133.30000000000001</v>
      </c>
      <c r="F5970" s="8"/>
    </row>
    <row r="5971" spans="1:6" ht="18" customHeight="1">
      <c r="A5971" s="4" t="s">
        <v>208</v>
      </c>
      <c r="B5971" s="4" t="str">
        <f>"2020014029"</f>
        <v>2020014029</v>
      </c>
      <c r="C5971" s="5">
        <v>73.400000000000006</v>
      </c>
      <c r="D5971" s="6">
        <v>59.5</v>
      </c>
      <c r="E5971" s="7">
        <f t="shared" si="93"/>
        <v>132.9</v>
      </c>
      <c r="F5971" s="8"/>
    </row>
    <row r="5972" spans="1:6" ht="18" customHeight="1">
      <c r="A5972" s="4" t="s">
        <v>208</v>
      </c>
      <c r="B5972" s="4" t="str">
        <f>"2020013715"</f>
        <v>2020013715</v>
      </c>
      <c r="C5972" s="5">
        <v>68.400000000000006</v>
      </c>
      <c r="D5972" s="6">
        <v>64</v>
      </c>
      <c r="E5972" s="7">
        <f t="shared" si="93"/>
        <v>132.4</v>
      </c>
      <c r="F5972" s="8"/>
    </row>
    <row r="5973" spans="1:6" ht="18" customHeight="1">
      <c r="A5973" s="4" t="s">
        <v>208</v>
      </c>
      <c r="B5973" s="4" t="str">
        <f>"2020020627"</f>
        <v>2020020627</v>
      </c>
      <c r="C5973" s="5">
        <v>69.3</v>
      </c>
      <c r="D5973" s="6">
        <v>63</v>
      </c>
      <c r="E5973" s="7">
        <f t="shared" si="93"/>
        <v>132.30000000000001</v>
      </c>
      <c r="F5973" s="8"/>
    </row>
    <row r="5974" spans="1:6" ht="18" customHeight="1">
      <c r="A5974" s="4" t="s">
        <v>208</v>
      </c>
      <c r="B5974" s="4" t="str">
        <f>"2020010114"</f>
        <v>2020010114</v>
      </c>
      <c r="C5974" s="5">
        <v>70.099999999999994</v>
      </c>
      <c r="D5974" s="6">
        <v>62</v>
      </c>
      <c r="E5974" s="7">
        <f t="shared" si="93"/>
        <v>132.1</v>
      </c>
      <c r="F5974" s="8"/>
    </row>
    <row r="5975" spans="1:6" ht="18" customHeight="1">
      <c r="A5975" s="4" t="s">
        <v>208</v>
      </c>
      <c r="B5975" s="4" t="str">
        <f>"2020032313"</f>
        <v>2020032313</v>
      </c>
      <c r="C5975" s="5">
        <v>68.5</v>
      </c>
      <c r="D5975" s="6">
        <v>63</v>
      </c>
      <c r="E5975" s="7">
        <f t="shared" si="93"/>
        <v>131.5</v>
      </c>
      <c r="F5975" s="8"/>
    </row>
    <row r="5976" spans="1:6" ht="18" customHeight="1">
      <c r="A5976" s="4" t="s">
        <v>208</v>
      </c>
      <c r="B5976" s="4" t="str">
        <f>"2020046910"</f>
        <v>2020046910</v>
      </c>
      <c r="C5976" s="5">
        <v>73.8</v>
      </c>
      <c r="D5976" s="6">
        <v>57.5</v>
      </c>
      <c r="E5976" s="7">
        <f t="shared" si="93"/>
        <v>131.30000000000001</v>
      </c>
      <c r="F5976" s="8"/>
    </row>
    <row r="5977" spans="1:6" ht="18" customHeight="1">
      <c r="A5977" s="4" t="s">
        <v>208</v>
      </c>
      <c r="B5977" s="4" t="str">
        <f>"2020032209"</f>
        <v>2020032209</v>
      </c>
      <c r="C5977" s="5">
        <v>67</v>
      </c>
      <c r="D5977" s="6">
        <v>64</v>
      </c>
      <c r="E5977" s="7">
        <f t="shared" si="93"/>
        <v>131</v>
      </c>
      <c r="F5977" s="8"/>
    </row>
    <row r="5978" spans="1:6" ht="18" customHeight="1">
      <c r="A5978" s="4" t="s">
        <v>208</v>
      </c>
      <c r="B5978" s="4" t="str">
        <f>"2020010504"</f>
        <v>2020010504</v>
      </c>
      <c r="C5978" s="5">
        <v>63.8</v>
      </c>
      <c r="D5978" s="6">
        <v>67</v>
      </c>
      <c r="E5978" s="7">
        <f t="shared" si="93"/>
        <v>130.80000000000001</v>
      </c>
      <c r="F5978" s="8"/>
    </row>
    <row r="5979" spans="1:6" ht="18" customHeight="1">
      <c r="A5979" s="4" t="s">
        <v>208</v>
      </c>
      <c r="B5979" s="4" t="str">
        <f>"2020011320"</f>
        <v>2020011320</v>
      </c>
      <c r="C5979" s="5">
        <v>70.099999999999994</v>
      </c>
      <c r="D5979" s="6">
        <v>60.5</v>
      </c>
      <c r="E5979" s="7">
        <f t="shared" si="93"/>
        <v>130.6</v>
      </c>
      <c r="F5979" s="8"/>
    </row>
    <row r="5980" spans="1:6" ht="18" customHeight="1">
      <c r="A5980" s="4" t="s">
        <v>208</v>
      </c>
      <c r="B5980" s="4" t="str">
        <f>"2020013402"</f>
        <v>2020013402</v>
      </c>
      <c r="C5980" s="5">
        <v>64.5</v>
      </c>
      <c r="D5980" s="6">
        <v>66</v>
      </c>
      <c r="E5980" s="7">
        <f t="shared" si="93"/>
        <v>130.5</v>
      </c>
      <c r="F5980" s="8"/>
    </row>
    <row r="5981" spans="1:6" ht="18" customHeight="1">
      <c r="A5981" s="4" t="s">
        <v>208</v>
      </c>
      <c r="B5981" s="4" t="str">
        <f>"2020044308"</f>
        <v>2020044308</v>
      </c>
      <c r="C5981" s="5">
        <v>69.400000000000006</v>
      </c>
      <c r="D5981" s="6">
        <v>61</v>
      </c>
      <c r="E5981" s="7">
        <f t="shared" si="93"/>
        <v>130.4</v>
      </c>
      <c r="F5981" s="8"/>
    </row>
    <row r="5982" spans="1:6" ht="18" customHeight="1">
      <c r="A5982" s="4" t="s">
        <v>208</v>
      </c>
      <c r="B5982" s="4" t="str">
        <f>"2020023828"</f>
        <v>2020023828</v>
      </c>
      <c r="C5982" s="5">
        <v>68.900000000000006</v>
      </c>
      <c r="D5982" s="6">
        <v>61.5</v>
      </c>
      <c r="E5982" s="7">
        <f t="shared" si="93"/>
        <v>130.4</v>
      </c>
      <c r="F5982" s="8"/>
    </row>
    <row r="5983" spans="1:6" ht="18" customHeight="1">
      <c r="A5983" s="4" t="s">
        <v>208</v>
      </c>
      <c r="B5983" s="4" t="str">
        <f>"2020044429"</f>
        <v>2020044429</v>
      </c>
      <c r="C5983" s="5">
        <v>61.9</v>
      </c>
      <c r="D5983" s="6">
        <v>68.5</v>
      </c>
      <c r="E5983" s="7">
        <f t="shared" si="93"/>
        <v>130.4</v>
      </c>
      <c r="F5983" s="8"/>
    </row>
    <row r="5984" spans="1:6" ht="18" customHeight="1">
      <c r="A5984" s="4" t="s">
        <v>208</v>
      </c>
      <c r="B5984" s="4" t="str">
        <f>"2020033320"</f>
        <v>2020033320</v>
      </c>
      <c r="C5984" s="5">
        <v>69</v>
      </c>
      <c r="D5984" s="6">
        <v>61</v>
      </c>
      <c r="E5984" s="7">
        <f t="shared" si="93"/>
        <v>130</v>
      </c>
      <c r="F5984" s="8"/>
    </row>
    <row r="5985" spans="1:6" ht="18" customHeight="1">
      <c r="A5985" s="4" t="s">
        <v>208</v>
      </c>
      <c r="B5985" s="4" t="str">
        <f>"2020024127"</f>
        <v>2020024127</v>
      </c>
      <c r="C5985" s="5">
        <v>72.3</v>
      </c>
      <c r="D5985" s="6">
        <v>57.5</v>
      </c>
      <c r="E5985" s="7">
        <f t="shared" si="93"/>
        <v>129.80000000000001</v>
      </c>
      <c r="F5985" s="8"/>
    </row>
    <row r="5986" spans="1:6" ht="18" customHeight="1">
      <c r="A5986" s="4" t="s">
        <v>208</v>
      </c>
      <c r="B5986" s="4" t="str">
        <f>"2020044315"</f>
        <v>2020044315</v>
      </c>
      <c r="C5986" s="5">
        <v>66.3</v>
      </c>
      <c r="D5986" s="6">
        <v>63.5</v>
      </c>
      <c r="E5986" s="7">
        <f t="shared" si="93"/>
        <v>129.80000000000001</v>
      </c>
      <c r="F5986" s="8"/>
    </row>
    <row r="5987" spans="1:6" ht="18" customHeight="1">
      <c r="A5987" s="4" t="s">
        <v>208</v>
      </c>
      <c r="B5987" s="4" t="str">
        <f>"2020023404"</f>
        <v>2020023404</v>
      </c>
      <c r="C5987" s="5">
        <v>66.5</v>
      </c>
      <c r="D5987" s="6">
        <v>62.5</v>
      </c>
      <c r="E5987" s="7">
        <f t="shared" si="93"/>
        <v>129</v>
      </c>
      <c r="F5987" s="8"/>
    </row>
    <row r="5988" spans="1:6" ht="18" customHeight="1">
      <c r="A5988" s="4" t="s">
        <v>208</v>
      </c>
      <c r="B5988" s="4" t="str">
        <f>"2020031001"</f>
        <v>2020031001</v>
      </c>
      <c r="C5988" s="5">
        <v>60.9</v>
      </c>
      <c r="D5988" s="6">
        <v>67.5</v>
      </c>
      <c r="E5988" s="7">
        <f t="shared" si="93"/>
        <v>128.4</v>
      </c>
      <c r="F5988" s="8"/>
    </row>
    <row r="5989" spans="1:6" ht="18" customHeight="1">
      <c r="A5989" s="4" t="s">
        <v>208</v>
      </c>
      <c r="B5989" s="4" t="str">
        <f>"2020041229"</f>
        <v>2020041229</v>
      </c>
      <c r="C5989" s="5">
        <v>65.8</v>
      </c>
      <c r="D5989" s="6">
        <v>62.5</v>
      </c>
      <c r="E5989" s="7">
        <f t="shared" si="93"/>
        <v>128.30000000000001</v>
      </c>
      <c r="F5989" s="8"/>
    </row>
    <row r="5990" spans="1:6" ht="18" customHeight="1">
      <c r="A5990" s="4" t="s">
        <v>208</v>
      </c>
      <c r="B5990" s="4" t="str">
        <f>"2020024704"</f>
        <v>2020024704</v>
      </c>
      <c r="C5990" s="5">
        <v>60.8</v>
      </c>
      <c r="D5990" s="6">
        <v>67</v>
      </c>
      <c r="E5990" s="7">
        <f t="shared" si="93"/>
        <v>127.8</v>
      </c>
      <c r="F5990" s="8"/>
    </row>
    <row r="5991" spans="1:6" ht="18" customHeight="1">
      <c r="A5991" s="4" t="s">
        <v>208</v>
      </c>
      <c r="B5991" s="4" t="str">
        <f>"2020046109"</f>
        <v>2020046109</v>
      </c>
      <c r="C5991" s="5">
        <v>67.900000000000006</v>
      </c>
      <c r="D5991" s="6">
        <v>59.5</v>
      </c>
      <c r="E5991" s="7">
        <f t="shared" si="93"/>
        <v>127.4</v>
      </c>
      <c r="F5991" s="8"/>
    </row>
    <row r="5992" spans="1:6" ht="18" customHeight="1">
      <c r="A5992" s="4" t="s">
        <v>208</v>
      </c>
      <c r="B5992" s="4" t="str">
        <f>"2020046523"</f>
        <v>2020046523</v>
      </c>
      <c r="C5992" s="5">
        <v>66.2</v>
      </c>
      <c r="D5992" s="6">
        <v>61</v>
      </c>
      <c r="E5992" s="7">
        <f t="shared" si="93"/>
        <v>127.2</v>
      </c>
      <c r="F5992" s="8"/>
    </row>
    <row r="5993" spans="1:6" ht="18" customHeight="1">
      <c r="A5993" s="4" t="s">
        <v>208</v>
      </c>
      <c r="B5993" s="4" t="str">
        <f>"2020043306"</f>
        <v>2020043306</v>
      </c>
      <c r="C5993" s="5">
        <v>57.8</v>
      </c>
      <c r="D5993" s="6">
        <v>69</v>
      </c>
      <c r="E5993" s="7">
        <f t="shared" si="93"/>
        <v>126.8</v>
      </c>
      <c r="F5993" s="8"/>
    </row>
    <row r="5994" spans="1:6" ht="18" customHeight="1">
      <c r="A5994" s="4" t="s">
        <v>208</v>
      </c>
      <c r="B5994" s="4" t="str">
        <f>"2020022007"</f>
        <v>2020022007</v>
      </c>
      <c r="C5994" s="5">
        <v>57.4</v>
      </c>
      <c r="D5994" s="6">
        <v>69</v>
      </c>
      <c r="E5994" s="7">
        <f t="shared" si="93"/>
        <v>126.4</v>
      </c>
      <c r="F5994" s="8"/>
    </row>
    <row r="5995" spans="1:6" ht="18" customHeight="1">
      <c r="A5995" s="4" t="s">
        <v>208</v>
      </c>
      <c r="B5995" s="4" t="str">
        <f>"2020024411"</f>
        <v>2020024411</v>
      </c>
      <c r="C5995" s="5">
        <v>50.1</v>
      </c>
      <c r="D5995" s="6">
        <v>76</v>
      </c>
      <c r="E5995" s="7">
        <f t="shared" si="93"/>
        <v>126.1</v>
      </c>
      <c r="F5995" s="8"/>
    </row>
    <row r="5996" spans="1:6" ht="18" customHeight="1">
      <c r="A5996" s="4" t="s">
        <v>208</v>
      </c>
      <c r="B5996" s="4" t="str">
        <f>"2020023204"</f>
        <v>2020023204</v>
      </c>
      <c r="C5996" s="5">
        <v>60.9</v>
      </c>
      <c r="D5996" s="6">
        <v>65</v>
      </c>
      <c r="E5996" s="7">
        <f t="shared" si="93"/>
        <v>125.9</v>
      </c>
      <c r="F5996" s="8"/>
    </row>
    <row r="5997" spans="1:6" ht="18" customHeight="1">
      <c r="A5997" s="4" t="s">
        <v>208</v>
      </c>
      <c r="B5997" s="4" t="str">
        <f>"2020023102"</f>
        <v>2020023102</v>
      </c>
      <c r="C5997" s="5">
        <v>59.2</v>
      </c>
      <c r="D5997" s="6">
        <v>66.5</v>
      </c>
      <c r="E5997" s="7">
        <f t="shared" si="93"/>
        <v>125.7</v>
      </c>
      <c r="F5997" s="8"/>
    </row>
    <row r="5998" spans="1:6" ht="18" customHeight="1">
      <c r="A5998" s="4" t="s">
        <v>208</v>
      </c>
      <c r="B5998" s="4" t="str">
        <f>"2020012627"</f>
        <v>2020012627</v>
      </c>
      <c r="C5998" s="5">
        <v>69.2</v>
      </c>
      <c r="D5998" s="6">
        <v>56</v>
      </c>
      <c r="E5998" s="7">
        <f t="shared" si="93"/>
        <v>125.2</v>
      </c>
      <c r="F5998" s="8"/>
    </row>
    <row r="5999" spans="1:6" ht="18" customHeight="1">
      <c r="A5999" s="4" t="s">
        <v>208</v>
      </c>
      <c r="B5999" s="4" t="str">
        <f>"2020042907"</f>
        <v>2020042907</v>
      </c>
      <c r="C5999" s="5">
        <v>64.2</v>
      </c>
      <c r="D5999" s="6">
        <v>60.5</v>
      </c>
      <c r="E5999" s="7">
        <f t="shared" si="93"/>
        <v>124.7</v>
      </c>
      <c r="F5999" s="8"/>
    </row>
    <row r="6000" spans="1:6" ht="18" customHeight="1">
      <c r="A6000" s="4" t="s">
        <v>208</v>
      </c>
      <c r="B6000" s="4" t="str">
        <f>"2020046504"</f>
        <v>2020046504</v>
      </c>
      <c r="C6000" s="5">
        <v>70.099999999999994</v>
      </c>
      <c r="D6000" s="6">
        <v>54.5</v>
      </c>
      <c r="E6000" s="7">
        <f t="shared" si="93"/>
        <v>124.6</v>
      </c>
      <c r="F6000" s="8"/>
    </row>
    <row r="6001" spans="1:6" ht="18" customHeight="1">
      <c r="A6001" s="4" t="s">
        <v>208</v>
      </c>
      <c r="B6001" s="4" t="str">
        <f>"2020012406"</f>
        <v>2020012406</v>
      </c>
      <c r="C6001" s="5">
        <v>60.6</v>
      </c>
      <c r="D6001" s="6">
        <v>64</v>
      </c>
      <c r="E6001" s="7">
        <f t="shared" si="93"/>
        <v>124.6</v>
      </c>
      <c r="F6001" s="8"/>
    </row>
    <row r="6002" spans="1:6" ht="18" customHeight="1">
      <c r="A6002" s="4" t="s">
        <v>208</v>
      </c>
      <c r="B6002" s="4" t="str">
        <f>"2020032517"</f>
        <v>2020032517</v>
      </c>
      <c r="C6002" s="5">
        <v>66.7</v>
      </c>
      <c r="D6002" s="6">
        <v>57.5</v>
      </c>
      <c r="E6002" s="7">
        <f t="shared" si="93"/>
        <v>124.2</v>
      </c>
      <c r="F6002" s="8"/>
    </row>
    <row r="6003" spans="1:6" ht="18" customHeight="1">
      <c r="A6003" s="4" t="s">
        <v>208</v>
      </c>
      <c r="B6003" s="4" t="str">
        <f>"2020011620"</f>
        <v>2020011620</v>
      </c>
      <c r="C6003" s="5">
        <v>61.7</v>
      </c>
      <c r="D6003" s="6">
        <v>62.5</v>
      </c>
      <c r="E6003" s="7">
        <f t="shared" si="93"/>
        <v>124.2</v>
      </c>
      <c r="F6003" s="8"/>
    </row>
    <row r="6004" spans="1:6" ht="18" customHeight="1">
      <c r="A6004" s="4" t="s">
        <v>208</v>
      </c>
      <c r="B6004" s="4" t="str">
        <f>"2020023802"</f>
        <v>2020023802</v>
      </c>
      <c r="C6004" s="5">
        <v>64.2</v>
      </c>
      <c r="D6004" s="6">
        <v>59.5</v>
      </c>
      <c r="E6004" s="7">
        <f t="shared" si="93"/>
        <v>123.7</v>
      </c>
      <c r="F6004" s="8"/>
    </row>
    <row r="6005" spans="1:6" ht="18" customHeight="1">
      <c r="A6005" s="4" t="s">
        <v>208</v>
      </c>
      <c r="B6005" s="4" t="str">
        <f>"2020030905"</f>
        <v>2020030905</v>
      </c>
      <c r="C6005" s="5">
        <v>67.3</v>
      </c>
      <c r="D6005" s="6">
        <v>56</v>
      </c>
      <c r="E6005" s="7">
        <f t="shared" si="93"/>
        <v>123.3</v>
      </c>
      <c r="F6005" s="8"/>
    </row>
    <row r="6006" spans="1:6" ht="18" customHeight="1">
      <c r="A6006" s="4" t="s">
        <v>208</v>
      </c>
      <c r="B6006" s="4" t="str">
        <f>"2020032711"</f>
        <v>2020032711</v>
      </c>
      <c r="C6006" s="5">
        <v>63.4</v>
      </c>
      <c r="D6006" s="6">
        <v>59.5</v>
      </c>
      <c r="E6006" s="7">
        <f t="shared" si="93"/>
        <v>122.9</v>
      </c>
      <c r="F6006" s="8"/>
    </row>
    <row r="6007" spans="1:6" ht="18" customHeight="1">
      <c r="A6007" s="4" t="s">
        <v>208</v>
      </c>
      <c r="B6007" s="4" t="str">
        <f>"2020011422"</f>
        <v>2020011422</v>
      </c>
      <c r="C6007" s="5">
        <v>60</v>
      </c>
      <c r="D6007" s="6">
        <v>62.5</v>
      </c>
      <c r="E6007" s="7">
        <f t="shared" si="93"/>
        <v>122.5</v>
      </c>
      <c r="F6007" s="8"/>
    </row>
    <row r="6008" spans="1:6" ht="18" customHeight="1">
      <c r="A6008" s="4" t="s">
        <v>208</v>
      </c>
      <c r="B6008" s="4" t="str">
        <f>"2020042724"</f>
        <v>2020042724</v>
      </c>
      <c r="C6008" s="5">
        <v>60</v>
      </c>
      <c r="D6008" s="6">
        <v>62.5</v>
      </c>
      <c r="E6008" s="7">
        <f t="shared" si="93"/>
        <v>122.5</v>
      </c>
      <c r="F6008" s="8"/>
    </row>
    <row r="6009" spans="1:6" ht="18" customHeight="1">
      <c r="A6009" s="4" t="s">
        <v>208</v>
      </c>
      <c r="B6009" s="4" t="str">
        <f>"2020021824"</f>
        <v>2020021824</v>
      </c>
      <c r="C6009" s="5">
        <v>57.7</v>
      </c>
      <c r="D6009" s="6">
        <v>64.5</v>
      </c>
      <c r="E6009" s="7">
        <f t="shared" si="93"/>
        <v>122.2</v>
      </c>
      <c r="F6009" s="8"/>
    </row>
    <row r="6010" spans="1:6" ht="18" customHeight="1">
      <c r="A6010" s="4" t="s">
        <v>208</v>
      </c>
      <c r="B6010" s="4" t="str">
        <f>"2020044827"</f>
        <v>2020044827</v>
      </c>
      <c r="C6010" s="5">
        <v>63</v>
      </c>
      <c r="D6010" s="6">
        <v>59</v>
      </c>
      <c r="E6010" s="7">
        <f t="shared" si="93"/>
        <v>122</v>
      </c>
      <c r="F6010" s="8"/>
    </row>
    <row r="6011" spans="1:6" ht="18" customHeight="1">
      <c r="A6011" s="4" t="s">
        <v>208</v>
      </c>
      <c r="B6011" s="4" t="str">
        <f>"2020010404"</f>
        <v>2020010404</v>
      </c>
      <c r="C6011" s="5">
        <v>62.4</v>
      </c>
      <c r="D6011" s="6">
        <v>59.5</v>
      </c>
      <c r="E6011" s="7">
        <f t="shared" si="93"/>
        <v>121.9</v>
      </c>
      <c r="F6011" s="8"/>
    </row>
    <row r="6012" spans="1:6" ht="18" customHeight="1">
      <c r="A6012" s="4" t="s">
        <v>208</v>
      </c>
      <c r="B6012" s="4" t="str">
        <f>"2020024205"</f>
        <v>2020024205</v>
      </c>
      <c r="C6012" s="5">
        <v>58.4</v>
      </c>
      <c r="D6012" s="6">
        <v>63.5</v>
      </c>
      <c r="E6012" s="7">
        <f t="shared" si="93"/>
        <v>121.9</v>
      </c>
      <c r="F6012" s="8"/>
    </row>
    <row r="6013" spans="1:6" ht="18" customHeight="1">
      <c r="A6013" s="4" t="s">
        <v>208</v>
      </c>
      <c r="B6013" s="4" t="str">
        <f>"2020013928"</f>
        <v>2020013928</v>
      </c>
      <c r="C6013" s="5">
        <v>60.3</v>
      </c>
      <c r="D6013" s="6">
        <v>61.5</v>
      </c>
      <c r="E6013" s="7">
        <f t="shared" si="93"/>
        <v>121.8</v>
      </c>
      <c r="F6013" s="8"/>
    </row>
    <row r="6014" spans="1:6" ht="18" customHeight="1">
      <c r="A6014" s="4" t="s">
        <v>208</v>
      </c>
      <c r="B6014" s="4" t="str">
        <f>"2020040515"</f>
        <v>2020040515</v>
      </c>
      <c r="C6014" s="5">
        <v>64.8</v>
      </c>
      <c r="D6014" s="6">
        <v>56.5</v>
      </c>
      <c r="E6014" s="7">
        <f t="shared" si="93"/>
        <v>121.3</v>
      </c>
      <c r="F6014" s="8"/>
    </row>
    <row r="6015" spans="1:6" ht="18" customHeight="1">
      <c r="A6015" s="4" t="s">
        <v>208</v>
      </c>
      <c r="B6015" s="4" t="str">
        <f>"2020024529"</f>
        <v>2020024529</v>
      </c>
      <c r="C6015" s="5">
        <v>66.400000000000006</v>
      </c>
      <c r="D6015" s="6">
        <v>54.5</v>
      </c>
      <c r="E6015" s="7">
        <f t="shared" si="93"/>
        <v>120.9</v>
      </c>
      <c r="F6015" s="8"/>
    </row>
    <row r="6016" spans="1:6" ht="18" customHeight="1">
      <c r="A6016" s="4" t="s">
        <v>208</v>
      </c>
      <c r="B6016" s="4" t="str">
        <f>"2020045105"</f>
        <v>2020045105</v>
      </c>
      <c r="C6016" s="5">
        <v>63.9</v>
      </c>
      <c r="D6016" s="6">
        <v>57</v>
      </c>
      <c r="E6016" s="7">
        <f t="shared" si="93"/>
        <v>120.9</v>
      </c>
      <c r="F6016" s="8"/>
    </row>
    <row r="6017" spans="1:6" ht="18" customHeight="1">
      <c r="A6017" s="4" t="s">
        <v>208</v>
      </c>
      <c r="B6017" s="4" t="str">
        <f>"2020014011"</f>
        <v>2020014011</v>
      </c>
      <c r="C6017" s="5">
        <v>61.4</v>
      </c>
      <c r="D6017" s="6">
        <v>59.5</v>
      </c>
      <c r="E6017" s="7">
        <f t="shared" si="93"/>
        <v>120.9</v>
      </c>
      <c r="F6017" s="8"/>
    </row>
    <row r="6018" spans="1:6" ht="18" customHeight="1">
      <c r="A6018" s="4" t="s">
        <v>208</v>
      </c>
      <c r="B6018" s="4" t="str">
        <f>"2020013509"</f>
        <v>2020013509</v>
      </c>
      <c r="C6018" s="5">
        <v>62.9</v>
      </c>
      <c r="D6018" s="6">
        <v>57.5</v>
      </c>
      <c r="E6018" s="7">
        <f t="shared" si="93"/>
        <v>120.4</v>
      </c>
      <c r="F6018" s="8"/>
    </row>
    <row r="6019" spans="1:6" ht="18" customHeight="1">
      <c r="A6019" s="4" t="s">
        <v>208</v>
      </c>
      <c r="B6019" s="4" t="str">
        <f>"2020045722"</f>
        <v>2020045722</v>
      </c>
      <c r="C6019" s="5">
        <v>73.3</v>
      </c>
      <c r="D6019" s="6">
        <v>47</v>
      </c>
      <c r="E6019" s="7">
        <f t="shared" ref="E6019:E6082" si="94">SUM(C6019:D6019)</f>
        <v>120.3</v>
      </c>
      <c r="F6019" s="8"/>
    </row>
    <row r="6020" spans="1:6" ht="18" customHeight="1">
      <c r="A6020" s="4" t="s">
        <v>208</v>
      </c>
      <c r="B6020" s="4" t="str">
        <f>"2020030324"</f>
        <v>2020030324</v>
      </c>
      <c r="C6020" s="5">
        <v>61.6</v>
      </c>
      <c r="D6020" s="6">
        <v>58.5</v>
      </c>
      <c r="E6020" s="7">
        <f t="shared" si="94"/>
        <v>120.1</v>
      </c>
      <c r="F6020" s="8"/>
    </row>
    <row r="6021" spans="1:6" ht="18" customHeight="1">
      <c r="A6021" s="4" t="s">
        <v>208</v>
      </c>
      <c r="B6021" s="4" t="str">
        <f>"2020042214"</f>
        <v>2020042214</v>
      </c>
      <c r="C6021" s="5">
        <v>63.1</v>
      </c>
      <c r="D6021" s="6">
        <v>56.5</v>
      </c>
      <c r="E6021" s="7">
        <f t="shared" si="94"/>
        <v>119.6</v>
      </c>
      <c r="F6021" s="8"/>
    </row>
    <row r="6022" spans="1:6" ht="18" customHeight="1">
      <c r="A6022" s="4" t="s">
        <v>208</v>
      </c>
      <c r="B6022" s="4" t="str">
        <f>"2020045610"</f>
        <v>2020045610</v>
      </c>
      <c r="C6022" s="5">
        <v>64.900000000000006</v>
      </c>
      <c r="D6022" s="6">
        <v>54.5</v>
      </c>
      <c r="E6022" s="7">
        <f t="shared" si="94"/>
        <v>119.4</v>
      </c>
      <c r="F6022" s="8"/>
    </row>
    <row r="6023" spans="1:6" ht="18" customHeight="1">
      <c r="A6023" s="4" t="s">
        <v>208</v>
      </c>
      <c r="B6023" s="4" t="str">
        <f>"2020042114"</f>
        <v>2020042114</v>
      </c>
      <c r="C6023" s="5">
        <v>62.9</v>
      </c>
      <c r="D6023" s="6">
        <v>56.5</v>
      </c>
      <c r="E6023" s="7">
        <f t="shared" si="94"/>
        <v>119.4</v>
      </c>
      <c r="F6023" s="8"/>
    </row>
    <row r="6024" spans="1:6" ht="18" customHeight="1">
      <c r="A6024" s="4" t="s">
        <v>208</v>
      </c>
      <c r="B6024" s="4" t="str">
        <f>"2020041916"</f>
        <v>2020041916</v>
      </c>
      <c r="C6024" s="5">
        <v>57.2</v>
      </c>
      <c r="D6024" s="6">
        <v>61.5</v>
      </c>
      <c r="E6024" s="7">
        <f t="shared" si="94"/>
        <v>118.7</v>
      </c>
      <c r="F6024" s="8"/>
    </row>
    <row r="6025" spans="1:6" ht="18" customHeight="1">
      <c r="A6025" s="4" t="s">
        <v>208</v>
      </c>
      <c r="B6025" s="4" t="str">
        <f>"2020014024"</f>
        <v>2020014024</v>
      </c>
      <c r="C6025" s="5">
        <v>64.099999999999994</v>
      </c>
      <c r="D6025" s="6">
        <v>54.5</v>
      </c>
      <c r="E6025" s="7">
        <f t="shared" si="94"/>
        <v>118.6</v>
      </c>
      <c r="F6025" s="8"/>
    </row>
    <row r="6026" spans="1:6" ht="18" customHeight="1">
      <c r="A6026" s="4" t="s">
        <v>208</v>
      </c>
      <c r="B6026" s="4" t="str">
        <f>"2020043123"</f>
        <v>2020043123</v>
      </c>
      <c r="C6026" s="5">
        <v>64.400000000000006</v>
      </c>
      <c r="D6026" s="6">
        <v>53.5</v>
      </c>
      <c r="E6026" s="7">
        <f t="shared" si="94"/>
        <v>117.9</v>
      </c>
      <c r="F6026" s="8"/>
    </row>
    <row r="6027" spans="1:6" ht="18" customHeight="1">
      <c r="A6027" s="4" t="s">
        <v>208</v>
      </c>
      <c r="B6027" s="4" t="str">
        <f>"2020010715"</f>
        <v>2020010715</v>
      </c>
      <c r="C6027" s="5">
        <v>58.8</v>
      </c>
      <c r="D6027" s="6">
        <v>59</v>
      </c>
      <c r="E6027" s="7">
        <f t="shared" si="94"/>
        <v>117.8</v>
      </c>
      <c r="F6027" s="8"/>
    </row>
    <row r="6028" spans="1:6" ht="18" customHeight="1">
      <c r="A6028" s="4" t="s">
        <v>208</v>
      </c>
      <c r="B6028" s="4" t="str">
        <f>"2020021907"</f>
        <v>2020021907</v>
      </c>
      <c r="C6028" s="5">
        <v>60.4</v>
      </c>
      <c r="D6028" s="6">
        <v>55.5</v>
      </c>
      <c r="E6028" s="7">
        <f t="shared" si="94"/>
        <v>115.9</v>
      </c>
      <c r="F6028" s="8"/>
    </row>
    <row r="6029" spans="1:6" ht="18" customHeight="1">
      <c r="A6029" s="4" t="s">
        <v>208</v>
      </c>
      <c r="B6029" s="4" t="str">
        <f>"2020046616"</f>
        <v>2020046616</v>
      </c>
      <c r="C6029" s="5">
        <v>70.3</v>
      </c>
      <c r="D6029" s="6">
        <v>45.5</v>
      </c>
      <c r="E6029" s="7">
        <f t="shared" si="94"/>
        <v>115.8</v>
      </c>
      <c r="F6029" s="8"/>
    </row>
    <row r="6030" spans="1:6" ht="18" customHeight="1">
      <c r="A6030" s="4" t="s">
        <v>208</v>
      </c>
      <c r="B6030" s="4" t="str">
        <f>"2020012705"</f>
        <v>2020012705</v>
      </c>
      <c r="C6030" s="5">
        <v>63.5</v>
      </c>
      <c r="D6030" s="6">
        <v>52</v>
      </c>
      <c r="E6030" s="7">
        <f t="shared" si="94"/>
        <v>115.5</v>
      </c>
      <c r="F6030" s="8"/>
    </row>
    <row r="6031" spans="1:6" ht="18" customHeight="1">
      <c r="A6031" s="4" t="s">
        <v>208</v>
      </c>
      <c r="B6031" s="4" t="str">
        <f>"2020021227"</f>
        <v>2020021227</v>
      </c>
      <c r="C6031" s="5">
        <v>62.5</v>
      </c>
      <c r="D6031" s="6">
        <v>53</v>
      </c>
      <c r="E6031" s="7">
        <f t="shared" si="94"/>
        <v>115.5</v>
      </c>
      <c r="F6031" s="8"/>
    </row>
    <row r="6032" spans="1:6" ht="18" customHeight="1">
      <c r="A6032" s="4" t="s">
        <v>208</v>
      </c>
      <c r="B6032" s="4" t="str">
        <f>"2020022623"</f>
        <v>2020022623</v>
      </c>
      <c r="C6032" s="5">
        <v>60</v>
      </c>
      <c r="D6032" s="6">
        <v>55.5</v>
      </c>
      <c r="E6032" s="7">
        <f t="shared" si="94"/>
        <v>115.5</v>
      </c>
      <c r="F6032" s="8"/>
    </row>
    <row r="6033" spans="1:6" ht="18" customHeight="1">
      <c r="A6033" s="4" t="s">
        <v>208</v>
      </c>
      <c r="B6033" s="4" t="str">
        <f>"2020030119"</f>
        <v>2020030119</v>
      </c>
      <c r="C6033" s="5">
        <v>51.8</v>
      </c>
      <c r="D6033" s="6">
        <v>61.5</v>
      </c>
      <c r="E6033" s="7">
        <f t="shared" si="94"/>
        <v>113.3</v>
      </c>
      <c r="F6033" s="8"/>
    </row>
    <row r="6034" spans="1:6" ht="18" customHeight="1">
      <c r="A6034" s="4" t="s">
        <v>208</v>
      </c>
      <c r="B6034" s="4" t="str">
        <f>"2020022129"</f>
        <v>2020022129</v>
      </c>
      <c r="C6034" s="5">
        <v>58</v>
      </c>
      <c r="D6034" s="6">
        <v>55</v>
      </c>
      <c r="E6034" s="7">
        <f t="shared" si="94"/>
        <v>113</v>
      </c>
      <c r="F6034" s="8"/>
    </row>
    <row r="6035" spans="1:6" ht="18" customHeight="1">
      <c r="A6035" s="4" t="s">
        <v>208</v>
      </c>
      <c r="B6035" s="4" t="str">
        <f>"2020041330"</f>
        <v>2020041330</v>
      </c>
      <c r="C6035" s="5">
        <v>57.3</v>
      </c>
      <c r="D6035" s="6">
        <v>55.5</v>
      </c>
      <c r="E6035" s="7">
        <f t="shared" si="94"/>
        <v>112.8</v>
      </c>
      <c r="F6035" s="8"/>
    </row>
    <row r="6036" spans="1:6" ht="18" customHeight="1">
      <c r="A6036" s="4" t="s">
        <v>208</v>
      </c>
      <c r="B6036" s="4" t="str">
        <f>"2020010718"</f>
        <v>2020010718</v>
      </c>
      <c r="C6036" s="5">
        <v>64.900000000000006</v>
      </c>
      <c r="D6036" s="6">
        <v>47</v>
      </c>
      <c r="E6036" s="7">
        <f t="shared" si="94"/>
        <v>111.9</v>
      </c>
      <c r="F6036" s="8"/>
    </row>
    <row r="6037" spans="1:6" ht="18" customHeight="1">
      <c r="A6037" s="4" t="s">
        <v>208</v>
      </c>
      <c r="B6037" s="4" t="str">
        <f>"2020042812"</f>
        <v>2020042812</v>
      </c>
      <c r="C6037" s="5">
        <v>58.5</v>
      </c>
      <c r="D6037" s="6">
        <v>53</v>
      </c>
      <c r="E6037" s="7">
        <f t="shared" si="94"/>
        <v>111.5</v>
      </c>
      <c r="F6037" s="8"/>
    </row>
    <row r="6038" spans="1:6" ht="18" customHeight="1">
      <c r="A6038" s="4" t="s">
        <v>208</v>
      </c>
      <c r="B6038" s="4" t="str">
        <f>"2020020422"</f>
        <v>2020020422</v>
      </c>
      <c r="C6038" s="5">
        <v>67.099999999999994</v>
      </c>
      <c r="D6038" s="6">
        <v>44</v>
      </c>
      <c r="E6038" s="7">
        <f t="shared" si="94"/>
        <v>111.1</v>
      </c>
      <c r="F6038" s="8"/>
    </row>
    <row r="6039" spans="1:6" ht="18" customHeight="1">
      <c r="A6039" s="4" t="s">
        <v>208</v>
      </c>
      <c r="B6039" s="4" t="str">
        <f>"2020030712"</f>
        <v>2020030712</v>
      </c>
      <c r="C6039" s="5">
        <v>64.599999999999994</v>
      </c>
      <c r="D6039" s="6">
        <v>46.5</v>
      </c>
      <c r="E6039" s="7">
        <f t="shared" si="94"/>
        <v>111.1</v>
      </c>
      <c r="F6039" s="8"/>
    </row>
    <row r="6040" spans="1:6" ht="18" customHeight="1">
      <c r="A6040" s="4" t="s">
        <v>208</v>
      </c>
      <c r="B6040" s="4" t="str">
        <f>"2020033701"</f>
        <v>2020033701</v>
      </c>
      <c r="C6040" s="5">
        <v>60.6</v>
      </c>
      <c r="D6040" s="6">
        <v>50</v>
      </c>
      <c r="E6040" s="7">
        <f t="shared" si="94"/>
        <v>110.6</v>
      </c>
      <c r="F6040" s="8"/>
    </row>
    <row r="6041" spans="1:6" ht="18" customHeight="1">
      <c r="A6041" s="4" t="s">
        <v>208</v>
      </c>
      <c r="B6041" s="4" t="str">
        <f>"2020010907"</f>
        <v>2020010907</v>
      </c>
      <c r="C6041" s="5">
        <v>57.6</v>
      </c>
      <c r="D6041" s="6">
        <v>53</v>
      </c>
      <c r="E6041" s="7">
        <f t="shared" si="94"/>
        <v>110.6</v>
      </c>
      <c r="F6041" s="8"/>
    </row>
    <row r="6042" spans="1:6" ht="18" customHeight="1">
      <c r="A6042" s="4" t="s">
        <v>208</v>
      </c>
      <c r="B6042" s="4" t="str">
        <f>"2020022423"</f>
        <v>2020022423</v>
      </c>
      <c r="C6042" s="5">
        <v>54.8</v>
      </c>
      <c r="D6042" s="6">
        <v>54.5</v>
      </c>
      <c r="E6042" s="7">
        <f t="shared" si="94"/>
        <v>109.3</v>
      </c>
      <c r="F6042" s="8"/>
    </row>
    <row r="6043" spans="1:6" ht="18" customHeight="1">
      <c r="A6043" s="4" t="s">
        <v>208</v>
      </c>
      <c r="B6043" s="4" t="str">
        <f>"2020043921"</f>
        <v>2020043921</v>
      </c>
      <c r="C6043" s="5">
        <v>56.7</v>
      </c>
      <c r="D6043" s="6">
        <v>52</v>
      </c>
      <c r="E6043" s="7">
        <f t="shared" si="94"/>
        <v>108.7</v>
      </c>
      <c r="F6043" s="8"/>
    </row>
    <row r="6044" spans="1:6" ht="18" customHeight="1">
      <c r="A6044" s="4" t="s">
        <v>208</v>
      </c>
      <c r="B6044" s="4" t="str">
        <f>"2020024002"</f>
        <v>2020024002</v>
      </c>
      <c r="C6044" s="5">
        <v>58.4</v>
      </c>
      <c r="D6044" s="6">
        <v>49.5</v>
      </c>
      <c r="E6044" s="7">
        <f t="shared" si="94"/>
        <v>107.9</v>
      </c>
      <c r="F6044" s="8"/>
    </row>
    <row r="6045" spans="1:6" ht="18" customHeight="1">
      <c r="A6045" s="4" t="s">
        <v>208</v>
      </c>
      <c r="B6045" s="4" t="str">
        <f>"2020021516"</f>
        <v>2020021516</v>
      </c>
      <c r="C6045" s="5">
        <v>58.7</v>
      </c>
      <c r="D6045" s="6">
        <v>49</v>
      </c>
      <c r="E6045" s="7">
        <f t="shared" si="94"/>
        <v>107.7</v>
      </c>
      <c r="F6045" s="8"/>
    </row>
    <row r="6046" spans="1:6" ht="18" customHeight="1">
      <c r="A6046" s="4" t="s">
        <v>208</v>
      </c>
      <c r="B6046" s="4" t="str">
        <f>"2020013422"</f>
        <v>2020013422</v>
      </c>
      <c r="C6046" s="5">
        <v>55.8</v>
      </c>
      <c r="D6046" s="6">
        <v>51.5</v>
      </c>
      <c r="E6046" s="7">
        <f t="shared" si="94"/>
        <v>107.3</v>
      </c>
      <c r="F6046" s="8"/>
    </row>
    <row r="6047" spans="1:6" ht="18" customHeight="1">
      <c r="A6047" s="4" t="s">
        <v>208</v>
      </c>
      <c r="B6047" s="4" t="str">
        <f>"2020034019"</f>
        <v>2020034019</v>
      </c>
      <c r="C6047" s="5">
        <v>57.7</v>
      </c>
      <c r="D6047" s="6">
        <v>49.5</v>
      </c>
      <c r="E6047" s="7">
        <f t="shared" si="94"/>
        <v>107.2</v>
      </c>
      <c r="F6047" s="8"/>
    </row>
    <row r="6048" spans="1:6" ht="18" customHeight="1">
      <c r="A6048" s="4" t="s">
        <v>208</v>
      </c>
      <c r="B6048" s="4" t="str">
        <f>"2020022806"</f>
        <v>2020022806</v>
      </c>
      <c r="C6048" s="5">
        <v>57.4</v>
      </c>
      <c r="D6048" s="6">
        <v>49</v>
      </c>
      <c r="E6048" s="7">
        <f t="shared" si="94"/>
        <v>106.4</v>
      </c>
      <c r="F6048" s="8"/>
    </row>
    <row r="6049" spans="1:6" ht="18" customHeight="1">
      <c r="A6049" s="4" t="s">
        <v>208</v>
      </c>
      <c r="B6049" s="4" t="str">
        <f>"2020013612"</f>
        <v>2020013612</v>
      </c>
      <c r="C6049" s="5">
        <v>54.2</v>
      </c>
      <c r="D6049" s="6">
        <v>50.5</v>
      </c>
      <c r="E6049" s="7">
        <f t="shared" si="94"/>
        <v>104.7</v>
      </c>
      <c r="F6049" s="8"/>
    </row>
    <row r="6050" spans="1:6" ht="18" customHeight="1">
      <c r="A6050" s="4" t="s">
        <v>208</v>
      </c>
      <c r="B6050" s="4" t="str">
        <f>"2020030328"</f>
        <v>2020030328</v>
      </c>
      <c r="C6050" s="5">
        <v>54.8</v>
      </c>
      <c r="D6050" s="6">
        <v>48.5</v>
      </c>
      <c r="E6050" s="7">
        <f t="shared" si="94"/>
        <v>103.3</v>
      </c>
      <c r="F6050" s="8"/>
    </row>
    <row r="6051" spans="1:6" ht="18" customHeight="1">
      <c r="A6051" s="4" t="s">
        <v>208</v>
      </c>
      <c r="B6051" s="4" t="str">
        <f>"2020031912"</f>
        <v>2020031912</v>
      </c>
      <c r="C6051" s="5">
        <v>53</v>
      </c>
      <c r="D6051" s="6">
        <v>49</v>
      </c>
      <c r="E6051" s="7">
        <f t="shared" si="94"/>
        <v>102</v>
      </c>
      <c r="F6051" s="9"/>
    </row>
    <row r="6052" spans="1:6" ht="18" customHeight="1">
      <c r="A6052" s="4" t="s">
        <v>208</v>
      </c>
      <c r="B6052" s="4" t="str">
        <f>"2020020224"</f>
        <v>2020020224</v>
      </c>
      <c r="C6052" s="5">
        <v>49.8</v>
      </c>
      <c r="D6052" s="6">
        <v>45.5</v>
      </c>
      <c r="E6052" s="7">
        <f t="shared" si="94"/>
        <v>95.3</v>
      </c>
      <c r="F6052" s="8"/>
    </row>
    <row r="6053" spans="1:6" ht="18" customHeight="1">
      <c r="A6053" s="4" t="s">
        <v>208</v>
      </c>
      <c r="B6053" s="4" t="str">
        <f>"2020044206"</f>
        <v>2020044206</v>
      </c>
      <c r="C6053" s="5">
        <v>57.5</v>
      </c>
      <c r="D6053" s="6">
        <v>37.5</v>
      </c>
      <c r="E6053" s="7">
        <f t="shared" si="94"/>
        <v>95</v>
      </c>
      <c r="F6053" s="8"/>
    </row>
    <row r="6054" spans="1:6" ht="18" customHeight="1">
      <c r="A6054" s="4" t="s">
        <v>208</v>
      </c>
      <c r="B6054" s="4" t="str">
        <f>"2020023522"</f>
        <v>2020023522</v>
      </c>
      <c r="C6054" s="5">
        <v>51.4</v>
      </c>
      <c r="D6054" s="6">
        <v>42.5</v>
      </c>
      <c r="E6054" s="7">
        <f t="shared" si="94"/>
        <v>93.9</v>
      </c>
      <c r="F6054" s="8"/>
    </row>
    <row r="6055" spans="1:6" ht="18" customHeight="1">
      <c r="A6055" s="4" t="s">
        <v>208</v>
      </c>
      <c r="B6055" s="4" t="str">
        <f>"2020010729"</f>
        <v>2020010729</v>
      </c>
      <c r="C6055" s="5">
        <v>52.8</v>
      </c>
      <c r="D6055" s="6">
        <v>37.5</v>
      </c>
      <c r="E6055" s="7">
        <f t="shared" si="94"/>
        <v>90.3</v>
      </c>
      <c r="F6055" s="8"/>
    </row>
    <row r="6056" spans="1:6" ht="18" customHeight="1">
      <c r="A6056" s="4" t="s">
        <v>208</v>
      </c>
      <c r="B6056" s="4" t="str">
        <f>"2020020903"</f>
        <v>2020020903</v>
      </c>
      <c r="C6056" s="5">
        <v>42.2</v>
      </c>
      <c r="D6056" s="6">
        <v>42</v>
      </c>
      <c r="E6056" s="7">
        <f t="shared" si="94"/>
        <v>84.2</v>
      </c>
      <c r="F6056" s="9"/>
    </row>
    <row r="6057" spans="1:6" ht="18" customHeight="1">
      <c r="A6057" s="4" t="s">
        <v>208</v>
      </c>
      <c r="B6057" s="4" t="str">
        <f>"2020040809"</f>
        <v>2020040809</v>
      </c>
      <c r="C6057" s="5">
        <v>45.8</v>
      </c>
      <c r="D6057" s="6">
        <v>36.5</v>
      </c>
      <c r="E6057" s="7">
        <f t="shared" si="94"/>
        <v>82.3</v>
      </c>
      <c r="F6057" s="8"/>
    </row>
    <row r="6058" spans="1:6" ht="18" customHeight="1">
      <c r="A6058" s="4" t="s">
        <v>208</v>
      </c>
      <c r="B6058" s="4" t="str">
        <f>"2020011013"</f>
        <v>2020011013</v>
      </c>
      <c r="C6058" s="5">
        <v>0</v>
      </c>
      <c r="D6058" s="6">
        <v>0</v>
      </c>
      <c r="E6058" s="7">
        <f t="shared" si="94"/>
        <v>0</v>
      </c>
      <c r="F6058" s="9" t="s">
        <v>8</v>
      </c>
    </row>
    <row r="6059" spans="1:6" ht="18" customHeight="1">
      <c r="A6059" s="4" t="s">
        <v>208</v>
      </c>
      <c r="B6059" s="4" t="str">
        <f>"2020011403"</f>
        <v>2020011403</v>
      </c>
      <c r="C6059" s="5">
        <v>0</v>
      </c>
      <c r="D6059" s="6">
        <v>0</v>
      </c>
      <c r="E6059" s="7">
        <f t="shared" si="94"/>
        <v>0</v>
      </c>
      <c r="F6059" s="9" t="s">
        <v>8</v>
      </c>
    </row>
    <row r="6060" spans="1:6" ht="18" customHeight="1">
      <c r="A6060" s="4" t="s">
        <v>208</v>
      </c>
      <c r="B6060" s="4" t="str">
        <f>"2020012408"</f>
        <v>2020012408</v>
      </c>
      <c r="C6060" s="5">
        <v>0</v>
      </c>
      <c r="D6060" s="6">
        <v>0</v>
      </c>
      <c r="E6060" s="7">
        <f t="shared" si="94"/>
        <v>0</v>
      </c>
      <c r="F6060" s="9" t="s">
        <v>8</v>
      </c>
    </row>
    <row r="6061" spans="1:6" ht="18" customHeight="1">
      <c r="A6061" s="4" t="s">
        <v>208</v>
      </c>
      <c r="B6061" s="4" t="str">
        <f>"2020012709"</f>
        <v>2020012709</v>
      </c>
      <c r="C6061" s="5">
        <v>0</v>
      </c>
      <c r="D6061" s="6">
        <v>0</v>
      </c>
      <c r="E6061" s="7">
        <f t="shared" si="94"/>
        <v>0</v>
      </c>
      <c r="F6061" s="9" t="s">
        <v>8</v>
      </c>
    </row>
    <row r="6062" spans="1:6" ht="18" customHeight="1">
      <c r="A6062" s="4" t="s">
        <v>208</v>
      </c>
      <c r="B6062" s="4" t="str">
        <f>"2020013130"</f>
        <v>2020013130</v>
      </c>
      <c r="C6062" s="5">
        <v>0</v>
      </c>
      <c r="D6062" s="6">
        <v>0</v>
      </c>
      <c r="E6062" s="7">
        <f t="shared" si="94"/>
        <v>0</v>
      </c>
      <c r="F6062" s="9" t="s">
        <v>8</v>
      </c>
    </row>
    <row r="6063" spans="1:6" ht="18" customHeight="1">
      <c r="A6063" s="4" t="s">
        <v>208</v>
      </c>
      <c r="B6063" s="4" t="str">
        <f>"2020013313"</f>
        <v>2020013313</v>
      </c>
      <c r="C6063" s="5">
        <v>0</v>
      </c>
      <c r="D6063" s="6">
        <v>0</v>
      </c>
      <c r="E6063" s="7">
        <f t="shared" si="94"/>
        <v>0</v>
      </c>
      <c r="F6063" s="9" t="s">
        <v>8</v>
      </c>
    </row>
    <row r="6064" spans="1:6" ht="18" customHeight="1">
      <c r="A6064" s="4" t="s">
        <v>208</v>
      </c>
      <c r="B6064" s="4" t="str">
        <f>"2020013623"</f>
        <v>2020013623</v>
      </c>
      <c r="C6064" s="5">
        <v>0</v>
      </c>
      <c r="D6064" s="6">
        <v>0</v>
      </c>
      <c r="E6064" s="7">
        <f t="shared" si="94"/>
        <v>0</v>
      </c>
      <c r="F6064" s="9" t="s">
        <v>8</v>
      </c>
    </row>
    <row r="6065" spans="1:6" ht="18" customHeight="1">
      <c r="A6065" s="4" t="s">
        <v>208</v>
      </c>
      <c r="B6065" s="4" t="str">
        <f>"2020013705"</f>
        <v>2020013705</v>
      </c>
      <c r="C6065" s="5">
        <v>0</v>
      </c>
      <c r="D6065" s="6">
        <v>0</v>
      </c>
      <c r="E6065" s="7">
        <f t="shared" si="94"/>
        <v>0</v>
      </c>
      <c r="F6065" s="9" t="s">
        <v>8</v>
      </c>
    </row>
    <row r="6066" spans="1:6" ht="18" customHeight="1">
      <c r="A6066" s="4" t="s">
        <v>208</v>
      </c>
      <c r="B6066" s="4" t="str">
        <f>"2020013921"</f>
        <v>2020013921</v>
      </c>
      <c r="C6066" s="5">
        <v>0</v>
      </c>
      <c r="D6066" s="6">
        <v>0</v>
      </c>
      <c r="E6066" s="7">
        <f t="shared" si="94"/>
        <v>0</v>
      </c>
      <c r="F6066" s="9" t="s">
        <v>8</v>
      </c>
    </row>
    <row r="6067" spans="1:6" ht="18" customHeight="1">
      <c r="A6067" s="4" t="s">
        <v>208</v>
      </c>
      <c r="B6067" s="4" t="str">
        <f>"2020013922"</f>
        <v>2020013922</v>
      </c>
      <c r="C6067" s="5">
        <v>0</v>
      </c>
      <c r="D6067" s="6">
        <v>0</v>
      </c>
      <c r="E6067" s="7">
        <f t="shared" si="94"/>
        <v>0</v>
      </c>
      <c r="F6067" s="9" t="s">
        <v>8</v>
      </c>
    </row>
    <row r="6068" spans="1:6" ht="18" customHeight="1">
      <c r="A6068" s="4" t="s">
        <v>208</v>
      </c>
      <c r="B6068" s="4" t="str">
        <f>"2020014022"</f>
        <v>2020014022</v>
      </c>
      <c r="C6068" s="5">
        <v>0</v>
      </c>
      <c r="D6068" s="6">
        <v>0</v>
      </c>
      <c r="E6068" s="7">
        <f t="shared" si="94"/>
        <v>0</v>
      </c>
      <c r="F6068" s="9" t="s">
        <v>8</v>
      </c>
    </row>
    <row r="6069" spans="1:6" ht="18" customHeight="1">
      <c r="A6069" s="4" t="s">
        <v>208</v>
      </c>
      <c r="B6069" s="4" t="str">
        <f>"2020020605"</f>
        <v>2020020605</v>
      </c>
      <c r="C6069" s="5">
        <v>0</v>
      </c>
      <c r="D6069" s="6">
        <v>0</v>
      </c>
      <c r="E6069" s="7">
        <f t="shared" si="94"/>
        <v>0</v>
      </c>
      <c r="F6069" s="8" t="s">
        <v>8</v>
      </c>
    </row>
    <row r="6070" spans="1:6" ht="18" customHeight="1">
      <c r="A6070" s="4" t="s">
        <v>208</v>
      </c>
      <c r="B6070" s="4" t="str">
        <f>"2020021020"</f>
        <v>2020021020</v>
      </c>
      <c r="C6070" s="5">
        <v>0</v>
      </c>
      <c r="D6070" s="6">
        <v>0</v>
      </c>
      <c r="E6070" s="7">
        <f t="shared" si="94"/>
        <v>0</v>
      </c>
      <c r="F6070" s="8" t="s">
        <v>8</v>
      </c>
    </row>
    <row r="6071" spans="1:6" ht="18" customHeight="1">
      <c r="A6071" s="4" t="s">
        <v>208</v>
      </c>
      <c r="B6071" s="4" t="str">
        <f>"2020021204"</f>
        <v>2020021204</v>
      </c>
      <c r="C6071" s="5">
        <v>0</v>
      </c>
      <c r="D6071" s="6">
        <v>0</v>
      </c>
      <c r="E6071" s="7">
        <f t="shared" si="94"/>
        <v>0</v>
      </c>
      <c r="F6071" s="8" t="s">
        <v>8</v>
      </c>
    </row>
    <row r="6072" spans="1:6" ht="18" customHeight="1">
      <c r="A6072" s="4" t="s">
        <v>208</v>
      </c>
      <c r="B6072" s="4" t="str">
        <f>"2020021306"</f>
        <v>2020021306</v>
      </c>
      <c r="C6072" s="5">
        <v>0</v>
      </c>
      <c r="D6072" s="6">
        <v>0</v>
      </c>
      <c r="E6072" s="7">
        <f t="shared" si="94"/>
        <v>0</v>
      </c>
      <c r="F6072" s="8" t="s">
        <v>8</v>
      </c>
    </row>
    <row r="6073" spans="1:6" ht="18" customHeight="1">
      <c r="A6073" s="4" t="s">
        <v>208</v>
      </c>
      <c r="B6073" s="4" t="str">
        <f>"2020021425"</f>
        <v>2020021425</v>
      </c>
      <c r="C6073" s="5">
        <v>0</v>
      </c>
      <c r="D6073" s="6">
        <v>0</v>
      </c>
      <c r="E6073" s="7">
        <f t="shared" si="94"/>
        <v>0</v>
      </c>
      <c r="F6073" s="8" t="s">
        <v>8</v>
      </c>
    </row>
    <row r="6074" spans="1:6" ht="18" customHeight="1">
      <c r="A6074" s="4" t="s">
        <v>208</v>
      </c>
      <c r="B6074" s="4" t="str">
        <f>"2020021924"</f>
        <v>2020021924</v>
      </c>
      <c r="C6074" s="5">
        <v>0</v>
      </c>
      <c r="D6074" s="6">
        <v>0</v>
      </c>
      <c r="E6074" s="7">
        <f t="shared" si="94"/>
        <v>0</v>
      </c>
      <c r="F6074" s="8" t="s">
        <v>8</v>
      </c>
    </row>
    <row r="6075" spans="1:6" ht="18" customHeight="1">
      <c r="A6075" s="4" t="s">
        <v>208</v>
      </c>
      <c r="B6075" s="4" t="str">
        <f>"2020022014"</f>
        <v>2020022014</v>
      </c>
      <c r="C6075" s="5">
        <v>0</v>
      </c>
      <c r="D6075" s="6">
        <v>0</v>
      </c>
      <c r="E6075" s="7">
        <f t="shared" si="94"/>
        <v>0</v>
      </c>
      <c r="F6075" s="8" t="s">
        <v>8</v>
      </c>
    </row>
    <row r="6076" spans="1:6" ht="18" customHeight="1">
      <c r="A6076" s="4" t="s">
        <v>208</v>
      </c>
      <c r="B6076" s="4" t="str">
        <f>"2020022620"</f>
        <v>2020022620</v>
      </c>
      <c r="C6076" s="5">
        <v>0</v>
      </c>
      <c r="D6076" s="6">
        <v>0</v>
      </c>
      <c r="E6076" s="7">
        <f t="shared" si="94"/>
        <v>0</v>
      </c>
      <c r="F6076" s="8" t="s">
        <v>8</v>
      </c>
    </row>
    <row r="6077" spans="1:6" ht="18" customHeight="1">
      <c r="A6077" s="4" t="s">
        <v>208</v>
      </c>
      <c r="B6077" s="4" t="str">
        <f>"2020023222"</f>
        <v>2020023222</v>
      </c>
      <c r="C6077" s="5">
        <v>0</v>
      </c>
      <c r="D6077" s="6">
        <v>0</v>
      </c>
      <c r="E6077" s="7">
        <f t="shared" si="94"/>
        <v>0</v>
      </c>
      <c r="F6077" s="8" t="s">
        <v>8</v>
      </c>
    </row>
    <row r="6078" spans="1:6" ht="18" customHeight="1">
      <c r="A6078" s="4" t="s">
        <v>208</v>
      </c>
      <c r="B6078" s="4" t="str">
        <f>"2020023527"</f>
        <v>2020023527</v>
      </c>
      <c r="C6078" s="5">
        <v>0</v>
      </c>
      <c r="D6078" s="6">
        <v>0</v>
      </c>
      <c r="E6078" s="7">
        <f t="shared" si="94"/>
        <v>0</v>
      </c>
      <c r="F6078" s="8" t="s">
        <v>8</v>
      </c>
    </row>
    <row r="6079" spans="1:6" ht="18" customHeight="1">
      <c r="A6079" s="4" t="s">
        <v>208</v>
      </c>
      <c r="B6079" s="4" t="str">
        <f>"2020023806"</f>
        <v>2020023806</v>
      </c>
      <c r="C6079" s="5">
        <v>0</v>
      </c>
      <c r="D6079" s="6">
        <v>0</v>
      </c>
      <c r="E6079" s="7">
        <f t="shared" si="94"/>
        <v>0</v>
      </c>
      <c r="F6079" s="8" t="s">
        <v>8</v>
      </c>
    </row>
    <row r="6080" spans="1:6" ht="18" customHeight="1">
      <c r="A6080" s="4" t="s">
        <v>208</v>
      </c>
      <c r="B6080" s="4" t="str">
        <f>"2020023819"</f>
        <v>2020023819</v>
      </c>
      <c r="C6080" s="5">
        <v>0</v>
      </c>
      <c r="D6080" s="6">
        <v>0</v>
      </c>
      <c r="E6080" s="7">
        <f t="shared" si="94"/>
        <v>0</v>
      </c>
      <c r="F6080" s="8" t="s">
        <v>8</v>
      </c>
    </row>
    <row r="6081" spans="1:6" ht="18" customHeight="1">
      <c r="A6081" s="4" t="s">
        <v>208</v>
      </c>
      <c r="B6081" s="4" t="str">
        <f>"2020024225"</f>
        <v>2020024225</v>
      </c>
      <c r="C6081" s="5">
        <v>0</v>
      </c>
      <c r="D6081" s="6">
        <v>0</v>
      </c>
      <c r="E6081" s="7">
        <f t="shared" si="94"/>
        <v>0</v>
      </c>
      <c r="F6081" s="8" t="s">
        <v>8</v>
      </c>
    </row>
    <row r="6082" spans="1:6" ht="18" customHeight="1">
      <c r="A6082" s="4" t="s">
        <v>208</v>
      </c>
      <c r="B6082" s="4" t="str">
        <f>"2020024416"</f>
        <v>2020024416</v>
      </c>
      <c r="C6082" s="5">
        <v>0</v>
      </c>
      <c r="D6082" s="6">
        <v>0</v>
      </c>
      <c r="E6082" s="7">
        <f t="shared" si="94"/>
        <v>0</v>
      </c>
      <c r="F6082" s="8" t="s">
        <v>8</v>
      </c>
    </row>
    <row r="6083" spans="1:6" ht="18" customHeight="1">
      <c r="A6083" s="4" t="s">
        <v>208</v>
      </c>
      <c r="B6083" s="4" t="str">
        <f>"2020024829"</f>
        <v>2020024829</v>
      </c>
      <c r="C6083" s="5">
        <v>0</v>
      </c>
      <c r="D6083" s="6">
        <v>0</v>
      </c>
      <c r="E6083" s="7">
        <f t="shared" ref="E6083:E6111" si="95">SUM(C6083:D6083)</f>
        <v>0</v>
      </c>
      <c r="F6083" s="8" t="s">
        <v>8</v>
      </c>
    </row>
    <row r="6084" spans="1:6" ht="18" customHeight="1">
      <c r="A6084" s="4" t="s">
        <v>208</v>
      </c>
      <c r="B6084" s="4" t="str">
        <f>"2020030206"</f>
        <v>2020030206</v>
      </c>
      <c r="C6084" s="5">
        <v>0</v>
      </c>
      <c r="D6084" s="6">
        <v>0</v>
      </c>
      <c r="E6084" s="7">
        <f t="shared" si="95"/>
        <v>0</v>
      </c>
      <c r="F6084" s="8" t="s">
        <v>8</v>
      </c>
    </row>
    <row r="6085" spans="1:6" ht="18" customHeight="1">
      <c r="A6085" s="4" t="s">
        <v>208</v>
      </c>
      <c r="B6085" s="4" t="str">
        <f>"2020030525"</f>
        <v>2020030525</v>
      </c>
      <c r="C6085" s="5">
        <v>0</v>
      </c>
      <c r="D6085" s="6">
        <v>0</v>
      </c>
      <c r="E6085" s="7">
        <f t="shared" si="95"/>
        <v>0</v>
      </c>
      <c r="F6085" s="8" t="s">
        <v>8</v>
      </c>
    </row>
    <row r="6086" spans="1:6" ht="18" customHeight="1">
      <c r="A6086" s="4" t="s">
        <v>208</v>
      </c>
      <c r="B6086" s="4" t="str">
        <f>"2020031429"</f>
        <v>2020031429</v>
      </c>
      <c r="C6086" s="5">
        <v>0</v>
      </c>
      <c r="D6086" s="6">
        <v>0</v>
      </c>
      <c r="E6086" s="7">
        <f t="shared" si="95"/>
        <v>0</v>
      </c>
      <c r="F6086" s="8" t="s">
        <v>8</v>
      </c>
    </row>
    <row r="6087" spans="1:6" ht="18" customHeight="1">
      <c r="A6087" s="4" t="s">
        <v>208</v>
      </c>
      <c r="B6087" s="4" t="str">
        <f>"2020031722"</f>
        <v>2020031722</v>
      </c>
      <c r="C6087" s="5">
        <v>0</v>
      </c>
      <c r="D6087" s="6">
        <v>0</v>
      </c>
      <c r="E6087" s="7">
        <f t="shared" si="95"/>
        <v>0</v>
      </c>
      <c r="F6087" s="8" t="s">
        <v>8</v>
      </c>
    </row>
    <row r="6088" spans="1:6" ht="18" customHeight="1">
      <c r="A6088" s="4" t="s">
        <v>208</v>
      </c>
      <c r="B6088" s="4" t="str">
        <f>"2020032016"</f>
        <v>2020032016</v>
      </c>
      <c r="C6088" s="5">
        <v>0</v>
      </c>
      <c r="D6088" s="6">
        <v>0</v>
      </c>
      <c r="E6088" s="7">
        <f t="shared" si="95"/>
        <v>0</v>
      </c>
      <c r="F6088" s="8" t="s">
        <v>8</v>
      </c>
    </row>
    <row r="6089" spans="1:6" ht="18" customHeight="1">
      <c r="A6089" s="4" t="s">
        <v>208</v>
      </c>
      <c r="B6089" s="4" t="str">
        <f>"2020032809"</f>
        <v>2020032809</v>
      </c>
      <c r="C6089" s="5">
        <v>0</v>
      </c>
      <c r="D6089" s="6">
        <v>0</v>
      </c>
      <c r="E6089" s="7">
        <f t="shared" si="95"/>
        <v>0</v>
      </c>
      <c r="F6089" s="8" t="s">
        <v>8</v>
      </c>
    </row>
    <row r="6090" spans="1:6" ht="18" customHeight="1">
      <c r="A6090" s="4" t="s">
        <v>208</v>
      </c>
      <c r="B6090" s="4" t="str">
        <f>"2020032906"</f>
        <v>2020032906</v>
      </c>
      <c r="C6090" s="5">
        <v>0</v>
      </c>
      <c r="D6090" s="6">
        <v>0</v>
      </c>
      <c r="E6090" s="7">
        <f t="shared" si="95"/>
        <v>0</v>
      </c>
      <c r="F6090" s="8" t="s">
        <v>8</v>
      </c>
    </row>
    <row r="6091" spans="1:6" ht="18" customHeight="1">
      <c r="A6091" s="4" t="s">
        <v>208</v>
      </c>
      <c r="B6091" s="4" t="str">
        <f>"2020033123"</f>
        <v>2020033123</v>
      </c>
      <c r="C6091" s="5">
        <v>0</v>
      </c>
      <c r="D6091" s="6">
        <v>0</v>
      </c>
      <c r="E6091" s="7">
        <f t="shared" si="95"/>
        <v>0</v>
      </c>
      <c r="F6091" s="8" t="s">
        <v>8</v>
      </c>
    </row>
    <row r="6092" spans="1:6" ht="18" customHeight="1">
      <c r="A6092" s="4" t="s">
        <v>208</v>
      </c>
      <c r="B6092" s="4" t="str">
        <f>"2020033211"</f>
        <v>2020033211</v>
      </c>
      <c r="C6092" s="5">
        <v>0</v>
      </c>
      <c r="D6092" s="6">
        <v>0</v>
      </c>
      <c r="E6092" s="7">
        <f t="shared" si="95"/>
        <v>0</v>
      </c>
      <c r="F6092" s="8" t="s">
        <v>8</v>
      </c>
    </row>
    <row r="6093" spans="1:6" ht="18" customHeight="1">
      <c r="A6093" s="4" t="s">
        <v>208</v>
      </c>
      <c r="B6093" s="4" t="str">
        <f>"2020033526"</f>
        <v>2020033526</v>
      </c>
      <c r="C6093" s="5">
        <v>0</v>
      </c>
      <c r="D6093" s="6">
        <v>0</v>
      </c>
      <c r="E6093" s="7">
        <f t="shared" si="95"/>
        <v>0</v>
      </c>
      <c r="F6093" s="8" t="s">
        <v>8</v>
      </c>
    </row>
    <row r="6094" spans="1:6" ht="18" customHeight="1">
      <c r="A6094" s="4" t="s">
        <v>208</v>
      </c>
      <c r="B6094" s="4" t="str">
        <f>"2020040101"</f>
        <v>2020040101</v>
      </c>
      <c r="C6094" s="5">
        <v>0</v>
      </c>
      <c r="D6094" s="6">
        <v>0</v>
      </c>
      <c r="E6094" s="7">
        <f t="shared" si="95"/>
        <v>0</v>
      </c>
      <c r="F6094" s="8" t="s">
        <v>8</v>
      </c>
    </row>
    <row r="6095" spans="1:6" ht="18" customHeight="1">
      <c r="A6095" s="4" t="s">
        <v>208</v>
      </c>
      <c r="B6095" s="4" t="str">
        <f>"2020040312"</f>
        <v>2020040312</v>
      </c>
      <c r="C6095" s="5">
        <v>0</v>
      </c>
      <c r="D6095" s="6">
        <v>0</v>
      </c>
      <c r="E6095" s="7">
        <f t="shared" si="95"/>
        <v>0</v>
      </c>
      <c r="F6095" s="8" t="s">
        <v>8</v>
      </c>
    </row>
    <row r="6096" spans="1:6" ht="18" customHeight="1">
      <c r="A6096" s="4" t="s">
        <v>208</v>
      </c>
      <c r="B6096" s="4" t="str">
        <f>"2020040514"</f>
        <v>2020040514</v>
      </c>
      <c r="C6096" s="5">
        <v>0</v>
      </c>
      <c r="D6096" s="6">
        <v>0</v>
      </c>
      <c r="E6096" s="7">
        <f t="shared" si="95"/>
        <v>0</v>
      </c>
      <c r="F6096" s="8" t="s">
        <v>8</v>
      </c>
    </row>
    <row r="6097" spans="1:6" ht="18" customHeight="1">
      <c r="A6097" s="4" t="s">
        <v>208</v>
      </c>
      <c r="B6097" s="4" t="str">
        <f>"2020040920"</f>
        <v>2020040920</v>
      </c>
      <c r="C6097" s="5">
        <v>0</v>
      </c>
      <c r="D6097" s="6">
        <v>0</v>
      </c>
      <c r="E6097" s="7">
        <f t="shared" si="95"/>
        <v>0</v>
      </c>
      <c r="F6097" s="8" t="s">
        <v>8</v>
      </c>
    </row>
    <row r="6098" spans="1:6" ht="18" customHeight="1">
      <c r="A6098" s="4" t="s">
        <v>208</v>
      </c>
      <c r="B6098" s="4" t="str">
        <f>"2020041014"</f>
        <v>2020041014</v>
      </c>
      <c r="C6098" s="5">
        <v>0</v>
      </c>
      <c r="D6098" s="6">
        <v>0</v>
      </c>
      <c r="E6098" s="7">
        <f t="shared" si="95"/>
        <v>0</v>
      </c>
      <c r="F6098" s="8" t="s">
        <v>8</v>
      </c>
    </row>
    <row r="6099" spans="1:6" ht="18" customHeight="1">
      <c r="A6099" s="4" t="s">
        <v>208</v>
      </c>
      <c r="B6099" s="4" t="str">
        <f>"2020041427"</f>
        <v>2020041427</v>
      </c>
      <c r="C6099" s="5">
        <v>0</v>
      </c>
      <c r="D6099" s="6">
        <v>0</v>
      </c>
      <c r="E6099" s="7">
        <f t="shared" si="95"/>
        <v>0</v>
      </c>
      <c r="F6099" s="8" t="s">
        <v>8</v>
      </c>
    </row>
    <row r="6100" spans="1:6" ht="18" customHeight="1">
      <c r="A6100" s="4" t="s">
        <v>208</v>
      </c>
      <c r="B6100" s="4" t="str">
        <f>"2020041622"</f>
        <v>2020041622</v>
      </c>
      <c r="C6100" s="5">
        <v>0</v>
      </c>
      <c r="D6100" s="6">
        <v>0</v>
      </c>
      <c r="E6100" s="7">
        <f t="shared" si="95"/>
        <v>0</v>
      </c>
      <c r="F6100" s="8" t="s">
        <v>8</v>
      </c>
    </row>
    <row r="6101" spans="1:6" ht="18" customHeight="1">
      <c r="A6101" s="4" t="s">
        <v>208</v>
      </c>
      <c r="B6101" s="4" t="str">
        <f>"2020042409"</f>
        <v>2020042409</v>
      </c>
      <c r="C6101" s="5">
        <v>0</v>
      </c>
      <c r="D6101" s="6">
        <v>0</v>
      </c>
      <c r="E6101" s="7">
        <f t="shared" si="95"/>
        <v>0</v>
      </c>
      <c r="F6101" s="8" t="s">
        <v>8</v>
      </c>
    </row>
    <row r="6102" spans="1:6" ht="18" customHeight="1">
      <c r="A6102" s="4" t="s">
        <v>208</v>
      </c>
      <c r="B6102" s="4" t="str">
        <f>"2020043223"</f>
        <v>2020043223</v>
      </c>
      <c r="C6102" s="5">
        <v>0</v>
      </c>
      <c r="D6102" s="6">
        <v>0</v>
      </c>
      <c r="E6102" s="7">
        <f t="shared" si="95"/>
        <v>0</v>
      </c>
      <c r="F6102" s="8" t="s">
        <v>8</v>
      </c>
    </row>
    <row r="6103" spans="1:6" ht="18" customHeight="1">
      <c r="A6103" s="4" t="s">
        <v>208</v>
      </c>
      <c r="B6103" s="4" t="str">
        <f>"2020043403"</f>
        <v>2020043403</v>
      </c>
      <c r="C6103" s="5">
        <v>0</v>
      </c>
      <c r="D6103" s="6">
        <v>0</v>
      </c>
      <c r="E6103" s="7">
        <f t="shared" si="95"/>
        <v>0</v>
      </c>
      <c r="F6103" s="8" t="s">
        <v>8</v>
      </c>
    </row>
    <row r="6104" spans="1:6" ht="18" customHeight="1">
      <c r="A6104" s="4" t="s">
        <v>208</v>
      </c>
      <c r="B6104" s="4" t="str">
        <f>"2020043526"</f>
        <v>2020043526</v>
      </c>
      <c r="C6104" s="5">
        <v>0</v>
      </c>
      <c r="D6104" s="6">
        <v>0</v>
      </c>
      <c r="E6104" s="7">
        <f t="shared" si="95"/>
        <v>0</v>
      </c>
      <c r="F6104" s="8" t="s">
        <v>8</v>
      </c>
    </row>
    <row r="6105" spans="1:6" ht="18" customHeight="1">
      <c r="A6105" s="4" t="s">
        <v>208</v>
      </c>
      <c r="B6105" s="4" t="str">
        <f>"2020043624"</f>
        <v>2020043624</v>
      </c>
      <c r="C6105" s="5">
        <v>0</v>
      </c>
      <c r="D6105" s="6">
        <v>0</v>
      </c>
      <c r="E6105" s="7">
        <f t="shared" si="95"/>
        <v>0</v>
      </c>
      <c r="F6105" s="8" t="s">
        <v>8</v>
      </c>
    </row>
    <row r="6106" spans="1:6" ht="18" customHeight="1">
      <c r="A6106" s="4" t="s">
        <v>208</v>
      </c>
      <c r="B6106" s="4" t="str">
        <f>"2020043701"</f>
        <v>2020043701</v>
      </c>
      <c r="C6106" s="5">
        <v>0</v>
      </c>
      <c r="D6106" s="6">
        <v>0</v>
      </c>
      <c r="E6106" s="7">
        <f t="shared" si="95"/>
        <v>0</v>
      </c>
      <c r="F6106" s="8" t="s">
        <v>8</v>
      </c>
    </row>
    <row r="6107" spans="1:6" ht="18" customHeight="1">
      <c r="A6107" s="4" t="s">
        <v>208</v>
      </c>
      <c r="B6107" s="4" t="str">
        <f>"2020044623"</f>
        <v>2020044623</v>
      </c>
      <c r="C6107" s="5">
        <v>0</v>
      </c>
      <c r="D6107" s="6">
        <v>0</v>
      </c>
      <c r="E6107" s="7">
        <f t="shared" si="95"/>
        <v>0</v>
      </c>
      <c r="F6107" s="8" t="s">
        <v>8</v>
      </c>
    </row>
    <row r="6108" spans="1:6" ht="18" customHeight="1">
      <c r="A6108" s="4" t="s">
        <v>208</v>
      </c>
      <c r="B6108" s="4" t="str">
        <f>"2020045320"</f>
        <v>2020045320</v>
      </c>
      <c r="C6108" s="5">
        <v>0</v>
      </c>
      <c r="D6108" s="6">
        <v>0</v>
      </c>
      <c r="E6108" s="7">
        <f t="shared" si="95"/>
        <v>0</v>
      </c>
      <c r="F6108" s="8" t="s">
        <v>8</v>
      </c>
    </row>
    <row r="6109" spans="1:6" ht="18" customHeight="1">
      <c r="A6109" s="4" t="s">
        <v>208</v>
      </c>
      <c r="B6109" s="4" t="str">
        <f>"2020046120"</f>
        <v>2020046120</v>
      </c>
      <c r="C6109" s="5">
        <v>0</v>
      </c>
      <c r="D6109" s="6">
        <v>0</v>
      </c>
      <c r="E6109" s="7">
        <f t="shared" si="95"/>
        <v>0</v>
      </c>
      <c r="F6109" s="8" t="s">
        <v>8</v>
      </c>
    </row>
    <row r="6110" spans="1:6" ht="18" customHeight="1">
      <c r="A6110" s="4" t="s">
        <v>208</v>
      </c>
      <c r="B6110" s="4" t="str">
        <f>"2020046918"</f>
        <v>2020046918</v>
      </c>
      <c r="C6110" s="5">
        <v>0</v>
      </c>
      <c r="D6110" s="6">
        <v>0</v>
      </c>
      <c r="E6110" s="7">
        <f t="shared" si="95"/>
        <v>0</v>
      </c>
      <c r="F6110" s="8" t="s">
        <v>8</v>
      </c>
    </row>
    <row r="6111" spans="1:6" ht="18" customHeight="1">
      <c r="A6111" s="4" t="s">
        <v>208</v>
      </c>
      <c r="B6111" s="4" t="str">
        <f>"2020047316"</f>
        <v>2020047316</v>
      </c>
      <c r="C6111" s="5">
        <v>0</v>
      </c>
      <c r="D6111" s="6">
        <v>0</v>
      </c>
      <c r="E6111" s="7">
        <f t="shared" si="95"/>
        <v>0</v>
      </c>
      <c r="F6111" s="8" t="s">
        <v>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2020-11-10T03:12:25Z</dcterms:modified>
</cp:coreProperties>
</file>